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15" windowWidth="18840" windowHeight="11535" tabRatio="484" firstSheet="8" activeTab="8"/>
  </bookViews>
  <sheets>
    <sheet name="1" sheetId="1" state="hidden" r:id="rId1"/>
    <sheet name="2" sheetId="2" state="hidden" r:id="rId2"/>
    <sheet name="3" sheetId="4" state="hidden" r:id="rId3"/>
    <sheet name="4" sheetId="5" state="hidden" r:id="rId4"/>
    <sheet name="5" sheetId="6" state="hidden" r:id="rId5"/>
    <sheet name="6" sheetId="7" state="hidden" r:id="rId6"/>
    <sheet name="7" sheetId="8" state="hidden" r:id="rId7"/>
    <sheet name="8" sheetId="9" state="hidden" r:id="rId8"/>
    <sheet name="10" sheetId="12" r:id="rId9"/>
    <sheet name="11" sheetId="10" r:id="rId10"/>
    <sheet name="12" sheetId="13" r:id="rId11"/>
    <sheet name="13" sheetId="11" r:id="rId12"/>
    <sheet name="14" sheetId="14" r:id="rId13"/>
    <sheet name="15" sheetId="15" r:id="rId14"/>
    <sheet name="16" sheetId="16" r:id="rId15"/>
    <sheet name="17" sheetId="17" r:id="rId16"/>
    <sheet name="18" sheetId="18" r:id="rId17"/>
    <sheet name="19" sheetId="19" r:id="rId18"/>
    <sheet name="фин. план" sheetId="20" r:id="rId19"/>
  </sheets>
  <definedNames>
    <definedName name="review" localSheetId="0">'1'!#REF!</definedName>
  </definedNames>
  <calcPr calcId="162913"/>
</workbook>
</file>

<file path=xl/calcChain.xml><?xml version="1.0" encoding="utf-8"?>
<calcChain xmlns="http://schemas.openxmlformats.org/spreadsheetml/2006/main">
  <c r="J344" i="20" l="1"/>
  <c r="J343" i="20"/>
  <c r="J238" i="20" l="1"/>
  <c r="J226" i="20"/>
  <c r="J213" i="20"/>
  <c r="J214" i="20"/>
  <c r="J203" i="20"/>
  <c r="J201" i="20"/>
  <c r="J200" i="20"/>
  <c r="J199" i="20"/>
  <c r="J198" i="20"/>
  <c r="J197" i="20"/>
  <c r="J196" i="20"/>
  <c r="J195" i="20" l="1"/>
  <c r="J174" i="20"/>
  <c r="J124" i="20"/>
  <c r="J105" i="20"/>
  <c r="J75" i="20" l="1"/>
  <c r="J68" i="20"/>
  <c r="J76" i="20" l="1"/>
  <c r="J69" i="20"/>
  <c r="J65" i="20"/>
  <c r="J61" i="20"/>
  <c r="J57" i="20"/>
  <c r="U43" i="13" l="1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4" i="13"/>
  <c r="U23" i="13"/>
  <c r="U17" i="13"/>
  <c r="U18" i="13"/>
  <c r="U19" i="13"/>
  <c r="U20" i="13"/>
  <c r="U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16" i="13"/>
  <c r="R4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17" i="13"/>
  <c r="R18" i="13"/>
  <c r="R19" i="13"/>
  <c r="R20" i="13"/>
  <c r="R21" i="13"/>
  <c r="R22" i="13"/>
  <c r="R23" i="13"/>
  <c r="R16" i="13"/>
  <c r="M38" i="10"/>
  <c r="L38" i="10"/>
  <c r="K38" i="10"/>
  <c r="J38" i="10"/>
  <c r="L44" i="10"/>
  <c r="L43" i="10"/>
  <c r="L42" i="10"/>
  <c r="L40" i="10"/>
  <c r="L39" i="10"/>
  <c r="L36" i="10"/>
  <c r="L34" i="10"/>
  <c r="L32" i="10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5" i="12"/>
  <c r="S24" i="12"/>
  <c r="S21" i="12"/>
  <c r="S19" i="12"/>
  <c r="S17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7" i="12"/>
  <c r="Q42" i="12"/>
  <c r="Q41" i="12"/>
  <c r="Q40" i="12"/>
  <c r="Q39" i="12"/>
  <c r="Q38" i="12"/>
  <c r="Q37" i="12"/>
  <c r="Q34" i="12"/>
  <c r="Q33" i="12"/>
  <c r="Q32" i="12"/>
  <c r="Q30" i="12"/>
  <c r="Q29" i="12"/>
  <c r="Q28" i="12"/>
  <c r="Q27" i="12"/>
  <c r="Q26" i="12"/>
  <c r="Q23" i="12"/>
  <c r="Q22" i="12"/>
  <c r="Q21" i="12"/>
  <c r="M214" i="20" l="1"/>
  <c r="N214" i="20" s="1"/>
  <c r="F306" i="20" l="1"/>
  <c r="J237" i="20"/>
  <c r="J236" i="20" s="1"/>
  <c r="J225" i="20"/>
  <c r="J223" i="20" s="1"/>
  <c r="F174" i="20"/>
  <c r="F176" i="20"/>
  <c r="F185" i="20"/>
  <c r="J185" i="20"/>
  <c r="J176" i="20"/>
  <c r="F57" i="20" l="1"/>
  <c r="F56" i="20" s="1"/>
  <c r="F54" i="20" s="1"/>
  <c r="F61" i="20"/>
  <c r="F71" i="20"/>
  <c r="F76" i="20"/>
  <c r="F65" i="20"/>
  <c r="F63" i="20" s="1"/>
  <c r="J56" i="20"/>
  <c r="J252" i="20"/>
  <c r="F75" i="20" l="1"/>
  <c r="F74" i="20" s="1"/>
  <c r="H43" i="12" l="1"/>
  <c r="H42" i="12"/>
  <c r="H41" i="12"/>
  <c r="H40" i="12"/>
  <c r="F401" i="20"/>
  <c r="F400" i="20" s="1"/>
  <c r="F346" i="20" l="1"/>
  <c r="F343" i="20"/>
  <c r="F344" i="20" s="1"/>
  <c r="F214" i="20"/>
  <c r="F213" i="20"/>
  <c r="F203" i="20"/>
  <c r="F197" i="20"/>
  <c r="F146" i="20"/>
  <c r="F124" i="20"/>
  <c r="F105" i="20"/>
  <c r="F131" i="20"/>
  <c r="AK33" i="17" l="1"/>
  <c r="M33" i="17"/>
  <c r="AX43" i="18" l="1"/>
  <c r="AX42" i="18"/>
  <c r="AX41" i="18"/>
  <c r="AX39" i="18"/>
  <c r="AX38" i="18"/>
  <c r="AX35" i="18"/>
  <c r="AX33" i="18"/>
  <c r="AX31" i="18"/>
  <c r="AX30" i="18" s="1"/>
  <c r="V30" i="18"/>
  <c r="AY30" i="18"/>
  <c r="AZ30" i="18"/>
  <c r="BA30" i="18"/>
  <c r="BB30" i="18"/>
  <c r="BC30" i="18"/>
  <c r="V42" i="18" l="1"/>
  <c r="X43" i="18"/>
  <c r="X41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D37" i="18"/>
  <c r="X34" i="18"/>
  <c r="X35" i="18"/>
  <c r="X32" i="18"/>
  <c r="X30" i="18" s="1"/>
  <c r="X33" i="18"/>
  <c r="X31" i="18"/>
  <c r="AK41" i="17"/>
  <c r="AK42" i="17"/>
  <c r="AK43" i="17"/>
  <c r="AK30" i="17"/>
  <c r="AD30" i="17"/>
  <c r="AD43" i="17"/>
  <c r="AD40" i="17" s="1"/>
  <c r="AD42" i="17"/>
  <c r="AD41" i="17"/>
  <c r="AD39" i="17"/>
  <c r="AD37" i="17" s="1"/>
  <c r="AD38" i="17"/>
  <c r="AD35" i="17"/>
  <c r="AD33" i="17"/>
  <c r="AD31" i="17"/>
  <c r="D43" i="17"/>
  <c r="D40" i="17" s="1"/>
  <c r="D42" i="17"/>
  <c r="D41" i="17"/>
  <c r="D39" i="17"/>
  <c r="D38" i="17"/>
  <c r="D35" i="17"/>
  <c r="D33" i="17"/>
  <c r="D31" i="17"/>
  <c r="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N37" i="17"/>
  <c r="AM37" i="17"/>
  <c r="AL37" i="17"/>
  <c r="AK37" i="17"/>
  <c r="L37" i="17"/>
  <c r="M37" i="17"/>
  <c r="N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K37" i="17"/>
  <c r="F39" i="17"/>
  <c r="G39" i="17"/>
  <c r="H39" i="17"/>
  <c r="I39" i="17"/>
  <c r="J39" i="17"/>
  <c r="O39" i="17"/>
  <c r="T39" i="17"/>
  <c r="Y39" i="17"/>
  <c r="AF39" i="17"/>
  <c r="AG39" i="17"/>
  <c r="AH39" i="17"/>
  <c r="AI39" i="17"/>
  <c r="AJ39" i="17"/>
  <c r="AE39" i="17" s="1"/>
  <c r="AO39" i="17"/>
  <c r="AT39" i="17"/>
  <c r="AY39" i="17"/>
  <c r="F40" i="17"/>
  <c r="G40" i="17"/>
  <c r="J40" i="17"/>
  <c r="K40" i="17"/>
  <c r="L40" i="17"/>
  <c r="M40" i="17"/>
  <c r="N40" i="17"/>
  <c r="P40" i="17"/>
  <c r="Q40" i="17"/>
  <c r="R40" i="17"/>
  <c r="S40" i="17"/>
  <c r="I40" i="17" s="1"/>
  <c r="T40" i="17"/>
  <c r="U40" i="17"/>
  <c r="V40" i="17"/>
  <c r="W40" i="17"/>
  <c r="X40" i="17"/>
  <c r="Y40" i="17"/>
  <c r="Z40" i="17"/>
  <c r="AA40" i="17"/>
  <c r="AB40" i="17"/>
  <c r="AC40" i="17"/>
  <c r="AG40" i="17"/>
  <c r="AH40" i="17"/>
  <c r="AI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C30" i="17"/>
  <c r="BB30" i="17"/>
  <c r="BA30" i="17"/>
  <c r="AZ30" i="17"/>
  <c r="AX30" i="17"/>
  <c r="AW30" i="17"/>
  <c r="AV30" i="17"/>
  <c r="AU30" i="17"/>
  <c r="AS30" i="17"/>
  <c r="AR30" i="17"/>
  <c r="AQ30" i="17"/>
  <c r="AP30" i="17"/>
  <c r="AN30" i="17"/>
  <c r="AM30" i="17"/>
  <c r="AL30" i="17"/>
  <c r="X30" i="17"/>
  <c r="Z30" i="17"/>
  <c r="AA30" i="17"/>
  <c r="AB30" i="17"/>
  <c r="AC30" i="17"/>
  <c r="L30" i="17"/>
  <c r="W30" i="17"/>
  <c r="V30" i="17"/>
  <c r="U30" i="17"/>
  <c r="S30" i="17"/>
  <c r="R30" i="17"/>
  <c r="Q30" i="17"/>
  <c r="P30" i="17"/>
  <c r="N30" i="17"/>
  <c r="M30" i="17"/>
  <c r="K30" i="17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J29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J36" i="16"/>
  <c r="E38" i="16"/>
  <c r="F38" i="16"/>
  <c r="BD38" i="16" s="1"/>
  <c r="G38" i="16"/>
  <c r="H38" i="16"/>
  <c r="I38" i="16"/>
  <c r="AD38" i="16"/>
  <c r="BC38" i="16" s="1"/>
  <c r="AE38" i="16"/>
  <c r="AF38" i="16"/>
  <c r="AG38" i="16"/>
  <c r="AH38" i="16"/>
  <c r="BG38" i="16" s="1"/>
  <c r="BE38" i="16"/>
  <c r="BF38" i="16"/>
  <c r="O40" i="17" l="1"/>
  <c r="E40" i="17" s="1"/>
  <c r="H40" i="17"/>
  <c r="AK40" i="17"/>
  <c r="AF40" i="17" s="1"/>
  <c r="D30" i="17"/>
  <c r="E39" i="17"/>
  <c r="AI30" i="15"/>
  <c r="AI32" i="15"/>
  <c r="AI34" i="15"/>
  <c r="AM38" i="15"/>
  <c r="AM37" i="15"/>
  <c r="AI42" i="15"/>
  <c r="AI41" i="15"/>
  <c r="AG40" i="15"/>
  <c r="G30" i="14"/>
  <c r="G34" i="14"/>
  <c r="G32" i="14"/>
  <c r="G42" i="14"/>
  <c r="G41" i="14"/>
  <c r="E40" i="14"/>
  <c r="I38" i="14"/>
  <c r="I37" i="14"/>
  <c r="AJ40" i="17" l="1"/>
  <c r="AE40" i="17" s="1"/>
  <c r="BW18" i="15"/>
  <c r="BX18" i="15"/>
  <c r="BY18" i="15"/>
  <c r="BZ18" i="15"/>
  <c r="CA18" i="15"/>
  <c r="CB18" i="15"/>
  <c r="CC18" i="15"/>
  <c r="BW19" i="15"/>
  <c r="BX19" i="15"/>
  <c r="BY19" i="15"/>
  <c r="BZ19" i="15"/>
  <c r="CA19" i="15"/>
  <c r="CB19" i="15"/>
  <c r="CC19" i="15"/>
  <c r="BW20" i="15"/>
  <c r="BX20" i="15"/>
  <c r="BY20" i="15"/>
  <c r="BZ20" i="15"/>
  <c r="CA20" i="15"/>
  <c r="CB20" i="15"/>
  <c r="CC20" i="15"/>
  <c r="BW21" i="15"/>
  <c r="BX21" i="15"/>
  <c r="BY21" i="15"/>
  <c r="BZ21" i="15"/>
  <c r="CA21" i="15"/>
  <c r="CB21" i="15"/>
  <c r="CC21" i="15"/>
  <c r="BW22" i="15"/>
  <c r="BX22" i="15"/>
  <c r="BY22" i="15"/>
  <c r="BZ22" i="15"/>
  <c r="CA22" i="15"/>
  <c r="CB22" i="15"/>
  <c r="CC22" i="15"/>
  <c r="BW23" i="15"/>
  <c r="BX23" i="15"/>
  <c r="BY23" i="15"/>
  <c r="BZ23" i="15"/>
  <c r="CA23" i="15"/>
  <c r="CB23" i="15"/>
  <c r="CC23" i="15"/>
  <c r="BW24" i="15"/>
  <c r="BX24" i="15"/>
  <c r="BY24" i="15"/>
  <c r="BZ24" i="15"/>
  <c r="CA24" i="15"/>
  <c r="CB24" i="15"/>
  <c r="CC24" i="15"/>
  <c r="BW25" i="15"/>
  <c r="BX25" i="15"/>
  <c r="BY25" i="15"/>
  <c r="BZ25" i="15"/>
  <c r="CA25" i="15"/>
  <c r="CB25" i="15"/>
  <c r="CC25" i="15"/>
  <c r="BW26" i="15"/>
  <c r="BX26" i="15"/>
  <c r="BY26" i="15"/>
  <c r="BZ26" i="15"/>
  <c r="CA26" i="15"/>
  <c r="CB26" i="15"/>
  <c r="CC26" i="15"/>
  <c r="BW27" i="15"/>
  <c r="BX27" i="15"/>
  <c r="BY27" i="15"/>
  <c r="BZ27" i="15"/>
  <c r="CA27" i="15"/>
  <c r="CB27" i="15"/>
  <c r="CC27" i="15"/>
  <c r="BW28" i="15"/>
  <c r="BX28" i="15"/>
  <c r="BY28" i="15"/>
  <c r="BZ28" i="15"/>
  <c r="CA28" i="15"/>
  <c r="CB28" i="15"/>
  <c r="CC28" i="15"/>
  <c r="BW29" i="15"/>
  <c r="BX29" i="15"/>
  <c r="BY29" i="15"/>
  <c r="BZ29" i="15"/>
  <c r="CA29" i="15"/>
  <c r="CB29" i="15"/>
  <c r="CC29" i="15"/>
  <c r="BW30" i="15"/>
  <c r="BX30" i="15"/>
  <c r="BY30" i="15"/>
  <c r="BZ30" i="15"/>
  <c r="CA30" i="15"/>
  <c r="CB30" i="15"/>
  <c r="CC30" i="15"/>
  <c r="BW31" i="15"/>
  <c r="BX31" i="15"/>
  <c r="BY31" i="15"/>
  <c r="BZ31" i="15"/>
  <c r="CA31" i="15"/>
  <c r="CB31" i="15"/>
  <c r="CC31" i="15"/>
  <c r="BW32" i="15"/>
  <c r="BX32" i="15"/>
  <c r="BY32" i="15"/>
  <c r="BZ32" i="15"/>
  <c r="CA32" i="15"/>
  <c r="CB32" i="15"/>
  <c r="CC32" i="15"/>
  <c r="BW33" i="15"/>
  <c r="BX33" i="15"/>
  <c r="BY33" i="15"/>
  <c r="BZ33" i="15"/>
  <c r="CA33" i="15"/>
  <c r="CB33" i="15"/>
  <c r="CC33" i="15"/>
  <c r="BW34" i="15"/>
  <c r="BX34" i="15"/>
  <c r="BY34" i="15"/>
  <c r="BZ34" i="15"/>
  <c r="CA34" i="15"/>
  <c r="CB34" i="15"/>
  <c r="CC34" i="15"/>
  <c r="BW35" i="15"/>
  <c r="BX35" i="15"/>
  <c r="BY35" i="15"/>
  <c r="BZ35" i="15"/>
  <c r="CA35" i="15"/>
  <c r="CB35" i="15"/>
  <c r="CC35" i="15"/>
  <c r="BW36" i="15"/>
  <c r="BX36" i="15"/>
  <c r="BY36" i="15"/>
  <c r="BZ36" i="15"/>
  <c r="CA36" i="15"/>
  <c r="CB36" i="15"/>
  <c r="CC36" i="15"/>
  <c r="BW37" i="15"/>
  <c r="BX37" i="15"/>
  <c r="BY37" i="15"/>
  <c r="BZ37" i="15"/>
  <c r="CA37" i="15"/>
  <c r="CB37" i="15"/>
  <c r="CC37" i="15"/>
  <c r="BW38" i="15"/>
  <c r="BX38" i="15"/>
  <c r="BY38" i="15"/>
  <c r="BZ38" i="15"/>
  <c r="CA38" i="15"/>
  <c r="CB38" i="15"/>
  <c r="CC38" i="15"/>
  <c r="BW39" i="15"/>
  <c r="BX39" i="15"/>
  <c r="BY39" i="15"/>
  <c r="BZ39" i="15"/>
  <c r="CA39" i="15"/>
  <c r="CB39" i="15"/>
  <c r="CC39" i="15"/>
  <c r="BW40" i="15"/>
  <c r="BX40" i="15"/>
  <c r="BY40" i="15"/>
  <c r="BZ40" i="15"/>
  <c r="CA40" i="15"/>
  <c r="CB40" i="15"/>
  <c r="CC40" i="15"/>
  <c r="BW41" i="15"/>
  <c r="BX41" i="15"/>
  <c r="BY41" i="15"/>
  <c r="BZ41" i="15"/>
  <c r="CA41" i="15"/>
  <c r="CB41" i="15"/>
  <c r="CC41" i="15"/>
  <c r="BW42" i="15"/>
  <c r="BX42" i="15"/>
  <c r="BY42" i="15"/>
  <c r="BZ42" i="15"/>
  <c r="CA42" i="15"/>
  <c r="CB42" i="15"/>
  <c r="CC42" i="15"/>
  <c r="BW43" i="15"/>
  <c r="BX43" i="15"/>
  <c r="BY43" i="15"/>
  <c r="BZ43" i="15"/>
  <c r="CA43" i="15"/>
  <c r="CB43" i="15"/>
  <c r="CC43" i="15"/>
  <c r="BX17" i="15"/>
  <c r="BY17" i="15"/>
  <c r="BZ17" i="15"/>
  <c r="CA17" i="15"/>
  <c r="CB17" i="15"/>
  <c r="CC17" i="15"/>
  <c r="BW17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AK36" i="15"/>
  <c r="AL36" i="15"/>
  <c r="AM36" i="15"/>
  <c r="L36" i="15"/>
  <c r="E38" i="15"/>
  <c r="F38" i="15"/>
  <c r="G38" i="15"/>
  <c r="H38" i="15"/>
  <c r="I38" i="15"/>
  <c r="J38" i="15"/>
  <c r="K38" i="15"/>
  <c r="AN38" i="15"/>
  <c r="AO38" i="15"/>
  <c r="AP38" i="15"/>
  <c r="AQ38" i="15"/>
  <c r="AR38" i="15"/>
  <c r="AS38" i="15"/>
  <c r="AT38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L29" i="15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F36" i="14"/>
  <c r="G36" i="14"/>
  <c r="H36" i="14"/>
  <c r="I36" i="14"/>
  <c r="E36" i="14"/>
  <c r="J38" i="14"/>
  <c r="K38" i="14"/>
  <c r="L38" i="14"/>
  <c r="M38" i="14"/>
  <c r="N38" i="14"/>
  <c r="AC29" i="14"/>
  <c r="AD29" i="14"/>
  <c r="AE29" i="14"/>
  <c r="AF29" i="14"/>
  <c r="AG29" i="14"/>
  <c r="AH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F29" i="14"/>
  <c r="E29" i="14"/>
  <c r="H29" i="14"/>
  <c r="I29" i="14"/>
  <c r="G29" i="14"/>
  <c r="G41" i="11"/>
  <c r="AH42" i="11"/>
  <c r="AH40" i="11" s="1"/>
  <c r="AH43" i="11"/>
  <c r="AH41" i="11"/>
  <c r="AH39" i="11"/>
  <c r="AH38" i="11"/>
  <c r="AH37" i="11" s="1"/>
  <c r="AH36" i="11" s="1"/>
  <c r="AH35" i="11"/>
  <c r="AH34" i="11" s="1"/>
  <c r="AH30" i="11"/>
  <c r="D31" i="11"/>
  <c r="D33" i="11"/>
  <c r="D35" i="11"/>
  <c r="D39" i="11"/>
  <c r="D38" i="1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16" i="13"/>
  <c r="D43" i="11"/>
  <c r="D42" i="11"/>
  <c r="D41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M37" i="11"/>
  <c r="AL37" i="11"/>
  <c r="AK37" i="11"/>
  <c r="AJ37" i="11"/>
  <c r="AI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E39" i="11"/>
  <c r="G39" i="11"/>
  <c r="H39" i="11"/>
  <c r="I39" i="11"/>
  <c r="J39" i="11"/>
  <c r="K39" i="11"/>
  <c r="AN39" i="11"/>
  <c r="AO39" i="11"/>
  <c r="BY39" i="11" s="1"/>
  <c r="AP39" i="11"/>
  <c r="AQ39" i="11"/>
  <c r="AR39" i="11"/>
  <c r="AS39" i="11"/>
  <c r="AT39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M30" i="11"/>
  <c r="AL30" i="11"/>
  <c r="AK30" i="11"/>
  <c r="AJ30" i="11"/>
  <c r="AI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Q28" i="13"/>
  <c r="P28" i="13"/>
  <c r="O28" i="13"/>
  <c r="N28" i="13"/>
  <c r="M28" i="13"/>
  <c r="L28" i="13"/>
  <c r="K28" i="13"/>
  <c r="J28" i="13"/>
  <c r="F39" i="11" l="1"/>
  <c r="D30" i="11"/>
  <c r="D37" i="11"/>
  <c r="I37" i="13"/>
  <c r="H37" i="13"/>
  <c r="I36" i="13"/>
  <c r="H36" i="13"/>
  <c r="I35" i="13"/>
  <c r="I34" i="13"/>
  <c r="I33" i="13"/>
  <c r="H33" i="13"/>
  <c r="I32" i="13"/>
  <c r="I31" i="13"/>
  <c r="H31" i="13"/>
  <c r="I26" i="13"/>
  <c r="H26" i="13"/>
  <c r="I25" i="13"/>
  <c r="H25" i="13"/>
  <c r="I22" i="13"/>
  <c r="H22" i="13"/>
  <c r="I21" i="13"/>
  <c r="H21" i="13"/>
  <c r="I19" i="13"/>
  <c r="H19" i="13"/>
  <c r="I29" i="13"/>
  <c r="H29" i="13"/>
  <c r="E28" i="13"/>
  <c r="D28" i="13"/>
  <c r="G40" i="13"/>
  <c r="G41" i="13"/>
  <c r="G39" i="13"/>
  <c r="F40" i="13"/>
  <c r="F41" i="13"/>
  <c r="F39" i="13"/>
  <c r="D41" i="13"/>
  <c r="D40" i="13"/>
  <c r="D39" i="13"/>
  <c r="G31" i="13"/>
  <c r="G33" i="13"/>
  <c r="F33" i="13"/>
  <c r="D31" i="13"/>
  <c r="F31" i="13"/>
  <c r="F29" i="13"/>
  <c r="G29" i="13" s="1"/>
  <c r="E35" i="13"/>
  <c r="J35" i="13"/>
  <c r="K35" i="13"/>
  <c r="L35" i="13"/>
  <c r="M35" i="13"/>
  <c r="N35" i="13"/>
  <c r="H35" i="13" s="1"/>
  <c r="O35" i="13"/>
  <c r="P35" i="13"/>
  <c r="Q35" i="13"/>
  <c r="D35" i="13"/>
  <c r="F37" i="13"/>
  <c r="G37" i="13"/>
  <c r="U33" i="10" l="1"/>
  <c r="I45" i="10"/>
  <c r="I44" i="10"/>
  <c r="I43" i="10"/>
  <c r="I42" i="10"/>
  <c r="L41" i="10"/>
  <c r="I41" i="10" s="1"/>
  <c r="I40" i="10"/>
  <c r="I39" i="10"/>
  <c r="K37" i="10"/>
  <c r="M37" i="10"/>
  <c r="L37" i="10"/>
  <c r="J37" i="10"/>
  <c r="I36" i="10"/>
  <c r="L35" i="10"/>
  <c r="I35" i="10"/>
  <c r="I34" i="10"/>
  <c r="I33" i="10"/>
  <c r="I32" i="10"/>
  <c r="M31" i="10"/>
  <c r="M30" i="10" s="1"/>
  <c r="M27" i="10" s="1"/>
  <c r="L31" i="10"/>
  <c r="K31" i="10"/>
  <c r="K30" i="10" s="1"/>
  <c r="J31" i="10"/>
  <c r="J30" i="10" s="1"/>
  <c r="I29" i="10"/>
  <c r="M28" i="10"/>
  <c r="L28" i="10"/>
  <c r="K28" i="10"/>
  <c r="J28" i="10"/>
  <c r="I28" i="10" s="1"/>
  <c r="I25" i="10"/>
  <c r="I24" i="10"/>
  <c r="I22" i="10"/>
  <c r="I20" i="10"/>
  <c r="G23" i="10"/>
  <c r="D23" i="10" s="1"/>
  <c r="G35" i="10"/>
  <c r="D35" i="10" s="1"/>
  <c r="G41" i="10"/>
  <c r="D41" i="10" s="1"/>
  <c r="G38" i="10"/>
  <c r="D40" i="10"/>
  <c r="T40" i="10"/>
  <c r="U40" i="10" s="1"/>
  <c r="O40" i="10" s="1"/>
  <c r="G31" i="10"/>
  <c r="D45" i="10"/>
  <c r="D44" i="10"/>
  <c r="D43" i="10"/>
  <c r="D42" i="10"/>
  <c r="D36" i="10"/>
  <c r="D34" i="10"/>
  <c r="D29" i="10"/>
  <c r="D28" i="10"/>
  <c r="D25" i="10"/>
  <c r="D24" i="10"/>
  <c r="D22" i="10"/>
  <c r="D20" i="10"/>
  <c r="D32" i="10"/>
  <c r="Q31" i="12"/>
  <c r="P39" i="12"/>
  <c r="O39" i="12"/>
  <c r="N39" i="12"/>
  <c r="M39" i="12"/>
  <c r="M21" i="12" s="1"/>
  <c r="L39" i="12"/>
  <c r="H39" i="12" s="1"/>
  <c r="K39" i="12"/>
  <c r="J39" i="12"/>
  <c r="J21" i="12" s="1"/>
  <c r="I39" i="12"/>
  <c r="I21" i="12" s="1"/>
  <c r="H21" i="12"/>
  <c r="K21" i="12"/>
  <c r="N21" i="12"/>
  <c r="O21" i="12"/>
  <c r="P21" i="12"/>
  <c r="F21" i="12"/>
  <c r="G40" i="12"/>
  <c r="G41" i="12"/>
  <c r="G42" i="12"/>
  <c r="G43" i="12"/>
  <c r="E36" i="12"/>
  <c r="F36" i="12"/>
  <c r="I36" i="12"/>
  <c r="J36" i="12"/>
  <c r="K36" i="12"/>
  <c r="L36" i="12"/>
  <c r="Q36" i="12" s="1"/>
  <c r="M36" i="12"/>
  <c r="N36" i="12"/>
  <c r="O36" i="12"/>
  <c r="P36" i="12"/>
  <c r="D36" i="12"/>
  <c r="F38" i="12"/>
  <c r="G38" i="12"/>
  <c r="H38" i="12"/>
  <c r="H30" i="12"/>
  <c r="G30" i="12"/>
  <c r="F30" i="12"/>
  <c r="I29" i="12"/>
  <c r="J29" i="12"/>
  <c r="K29" i="12"/>
  <c r="L29" i="12"/>
  <c r="M29" i="12"/>
  <c r="N29" i="12"/>
  <c r="O29" i="12"/>
  <c r="P29" i="12"/>
  <c r="E29" i="12"/>
  <c r="D29" i="12"/>
  <c r="D28" i="12" s="1"/>
  <c r="F32" i="12"/>
  <c r="F34" i="12"/>
  <c r="J33" i="12"/>
  <c r="K33" i="12"/>
  <c r="L33" i="12"/>
  <c r="M33" i="12"/>
  <c r="N33" i="12"/>
  <c r="O33" i="12"/>
  <c r="P33" i="12"/>
  <c r="I33" i="12"/>
  <c r="G33" i="12" s="1"/>
  <c r="G32" i="12"/>
  <c r="H32" i="12"/>
  <c r="H33" i="12"/>
  <c r="G34" i="12"/>
  <c r="H34" i="12"/>
  <c r="L30" i="10" l="1"/>
  <c r="L21" i="12"/>
  <c r="M26" i="10"/>
  <c r="M21" i="10"/>
  <c r="M19" i="10" s="1"/>
  <c r="M46" i="10" s="1"/>
  <c r="L27" i="10"/>
  <c r="L21" i="10" s="1"/>
  <c r="L19" i="10" s="1"/>
  <c r="L46" i="10" s="1"/>
  <c r="L23" i="10"/>
  <c r="I23" i="10" s="1"/>
  <c r="I37" i="10"/>
  <c r="K27" i="10"/>
  <c r="I30" i="10"/>
  <c r="I31" i="10"/>
  <c r="I38" i="10"/>
  <c r="J27" i="10"/>
  <c r="N40" i="10"/>
  <c r="G39" i="12"/>
  <c r="G21" i="12" s="1"/>
  <c r="M252" i="20"/>
  <c r="N252" i="20" s="1"/>
  <c r="M70" i="20"/>
  <c r="N70" i="20" s="1"/>
  <c r="M69" i="20"/>
  <c r="N69" i="20" s="1"/>
  <c r="M431" i="20"/>
  <c r="N431" i="20" s="1"/>
  <c r="M428" i="20"/>
  <c r="N428" i="20" s="1"/>
  <c r="M407" i="20"/>
  <c r="N407" i="20" s="1"/>
  <c r="M383" i="20"/>
  <c r="N383" i="20" s="1"/>
  <c r="M350" i="20"/>
  <c r="N350" i="20" s="1"/>
  <c r="M349" i="20"/>
  <c r="N349" i="20" s="1"/>
  <c r="M348" i="20"/>
  <c r="N348" i="20" s="1"/>
  <c r="M347" i="20"/>
  <c r="M345" i="20"/>
  <c r="N345" i="20" s="1"/>
  <c r="M342" i="20"/>
  <c r="M304" i="20"/>
  <c r="N304" i="20" s="1"/>
  <c r="M298" i="20"/>
  <c r="N298" i="20" s="1"/>
  <c r="M296" i="20"/>
  <c r="N296" i="20" s="1"/>
  <c r="M294" i="20"/>
  <c r="N294" i="20" s="1"/>
  <c r="M290" i="20"/>
  <c r="N290" i="20" s="1"/>
  <c r="M284" i="20"/>
  <c r="N284" i="20" s="1"/>
  <c r="M213" i="20"/>
  <c r="N213" i="20" s="1"/>
  <c r="M202" i="20"/>
  <c r="N202" i="20" s="1"/>
  <c r="M196" i="20"/>
  <c r="N196" i="20" s="1"/>
  <c r="M195" i="20"/>
  <c r="N195" i="20" s="1"/>
  <c r="M194" i="20"/>
  <c r="M175" i="20"/>
  <c r="M147" i="20"/>
  <c r="M109" i="20"/>
  <c r="N109" i="20" s="1"/>
  <c r="M108" i="20"/>
  <c r="N108" i="20" s="1"/>
  <c r="M106" i="20"/>
  <c r="N106" i="20" s="1"/>
  <c r="M102" i="20"/>
  <c r="N102" i="20" s="1"/>
  <c r="M100" i="20"/>
  <c r="N100" i="20" s="1"/>
  <c r="M99" i="20"/>
  <c r="N99" i="20" s="1"/>
  <c r="M105" i="20"/>
  <c r="N105" i="20" s="1"/>
  <c r="M79" i="20"/>
  <c r="N79" i="20" s="1"/>
  <c r="M77" i="20"/>
  <c r="N77" i="20" s="1"/>
  <c r="M76" i="20"/>
  <c r="N76" i="20" s="1"/>
  <c r="M73" i="20"/>
  <c r="N73" i="20" s="1"/>
  <c r="M72" i="20"/>
  <c r="N72" i="20" s="1"/>
  <c r="M68" i="20"/>
  <c r="N68" i="20" s="1"/>
  <c r="M65" i="20"/>
  <c r="N65" i="20" s="1"/>
  <c r="M61" i="20"/>
  <c r="N61" i="20" s="1"/>
  <c r="M58" i="20"/>
  <c r="N58" i="20" s="1"/>
  <c r="M53" i="20"/>
  <c r="N53" i="20" s="1"/>
  <c r="M47" i="20"/>
  <c r="N47" i="20" s="1"/>
  <c r="M45" i="20"/>
  <c r="N45" i="20" s="1"/>
  <c r="M38" i="20"/>
  <c r="N38" i="20" s="1"/>
  <c r="M32" i="20"/>
  <c r="N32" i="20" s="1"/>
  <c r="M30" i="20"/>
  <c r="N30" i="20" s="1"/>
  <c r="L26" i="10" l="1"/>
  <c r="K26" i="10"/>
  <c r="K21" i="10"/>
  <c r="K19" i="10" s="1"/>
  <c r="K46" i="10" s="1"/>
  <c r="I27" i="10"/>
  <c r="J26" i="10"/>
  <c r="J21" i="10"/>
  <c r="I21" i="10" l="1"/>
  <c r="J19" i="10"/>
  <c r="I26" i="10"/>
  <c r="I343" i="20"/>
  <c r="I19" i="10" l="1"/>
  <c r="J46" i="10"/>
  <c r="I46" i="10" s="1"/>
  <c r="I213" i="20"/>
  <c r="M139" i="20" l="1"/>
  <c r="N139" i="20" s="1"/>
  <c r="M103" i="20" l="1"/>
  <c r="N103" i="20" s="1"/>
  <c r="I57" i="20" l="1"/>
  <c r="J351" i="20" l="1"/>
  <c r="I351" i="20"/>
  <c r="J346" i="20"/>
  <c r="J341" i="20"/>
  <c r="M341" i="20" s="1"/>
  <c r="N341" i="20" s="1"/>
  <c r="I341" i="20"/>
  <c r="I282" i="20"/>
  <c r="I252" i="20"/>
  <c r="J247" i="20"/>
  <c r="M247" i="20" s="1"/>
  <c r="N247" i="20" s="1"/>
  <c r="J212" i="20"/>
  <c r="J211" i="20" s="1"/>
  <c r="J244" i="20" s="1"/>
  <c r="J245" i="20" s="1"/>
  <c r="I212" i="20"/>
  <c r="I201" i="20"/>
  <c r="I200" i="20"/>
  <c r="I199" i="20"/>
  <c r="I193" i="20"/>
  <c r="I191" i="20"/>
  <c r="J186" i="20"/>
  <c r="I185" i="20"/>
  <c r="I176" i="20"/>
  <c r="I174" i="20"/>
  <c r="I377" i="20"/>
  <c r="I376" i="20" s="1"/>
  <c r="J377" i="20"/>
  <c r="I401" i="20"/>
  <c r="I400" i="20" s="1"/>
  <c r="J401" i="20"/>
  <c r="I429" i="20"/>
  <c r="J429" i="20"/>
  <c r="J107" i="20"/>
  <c r="M107" i="20" s="1"/>
  <c r="N107" i="20" s="1"/>
  <c r="I104" i="20"/>
  <c r="J101" i="20"/>
  <c r="M101" i="20" s="1"/>
  <c r="N101" i="20" s="1"/>
  <c r="I98" i="20"/>
  <c r="J96" i="20"/>
  <c r="J154" i="20" s="1"/>
  <c r="I96" i="20"/>
  <c r="J90" i="20"/>
  <c r="I90" i="20"/>
  <c r="I118" i="20" s="1"/>
  <c r="I148" i="20" s="1"/>
  <c r="J71" i="20"/>
  <c r="I71" i="20"/>
  <c r="J63" i="20"/>
  <c r="I63" i="20"/>
  <c r="I56" i="20"/>
  <c r="I54" i="20" s="1"/>
  <c r="J88" i="20"/>
  <c r="I88" i="20"/>
  <c r="J39" i="20"/>
  <c r="I39" i="20"/>
  <c r="J24" i="20"/>
  <c r="I24" i="20"/>
  <c r="I82" i="20" s="1"/>
  <c r="L429" i="20"/>
  <c r="K429" i="20"/>
  <c r="H429" i="20"/>
  <c r="G429" i="20"/>
  <c r="F429" i="20"/>
  <c r="E429" i="20"/>
  <c r="D429" i="20"/>
  <c r="L428" i="20"/>
  <c r="H428" i="20"/>
  <c r="G428" i="20"/>
  <c r="H407" i="20"/>
  <c r="G407" i="20"/>
  <c r="L401" i="20"/>
  <c r="K401" i="20"/>
  <c r="K400" i="20" s="1"/>
  <c r="H401" i="20"/>
  <c r="H400" i="20" s="1"/>
  <c r="G401" i="20"/>
  <c r="G400" i="20" s="1"/>
  <c r="E401" i="20"/>
  <c r="E400" i="20" s="1"/>
  <c r="D401" i="20"/>
  <c r="L400" i="20"/>
  <c r="D400" i="20"/>
  <c r="G383" i="20"/>
  <c r="L377" i="20"/>
  <c r="L376" i="20" s="1"/>
  <c r="K377" i="20"/>
  <c r="H377" i="20"/>
  <c r="H376" i="20" s="1"/>
  <c r="G377" i="20"/>
  <c r="G376" i="20" s="1"/>
  <c r="F377" i="20"/>
  <c r="F376" i="20" s="1"/>
  <c r="E377" i="20"/>
  <c r="D377" i="20"/>
  <c r="D376" i="20" s="1"/>
  <c r="D375" i="20" s="1"/>
  <c r="D374" i="20" s="1"/>
  <c r="K376" i="20"/>
  <c r="K375" i="20" s="1"/>
  <c r="K374" i="20" s="1"/>
  <c r="E376" i="20"/>
  <c r="E375" i="20" s="1"/>
  <c r="E374" i="20" s="1"/>
  <c r="L368" i="20"/>
  <c r="K368" i="20"/>
  <c r="K351" i="20"/>
  <c r="H351" i="20"/>
  <c r="G351" i="20"/>
  <c r="F351" i="20"/>
  <c r="E351" i="20"/>
  <c r="D351" i="20"/>
  <c r="E348" i="20"/>
  <c r="E346" i="20" s="1"/>
  <c r="D348" i="20"/>
  <c r="D346" i="20" s="1"/>
  <c r="L346" i="20"/>
  <c r="K346" i="20"/>
  <c r="H346" i="20"/>
  <c r="G346" i="20"/>
  <c r="L343" i="20"/>
  <c r="L344" i="20" s="1"/>
  <c r="K343" i="20"/>
  <c r="K344" i="20" s="1"/>
  <c r="E343" i="20"/>
  <c r="E344" i="20" s="1"/>
  <c r="D343" i="20"/>
  <c r="D344" i="20" s="1"/>
  <c r="H341" i="20"/>
  <c r="G341" i="20"/>
  <c r="E306" i="20"/>
  <c r="E312" i="20" s="1"/>
  <c r="D306" i="20"/>
  <c r="D312" i="20" s="1"/>
  <c r="E304" i="20"/>
  <c r="D304" i="20"/>
  <c r="G282" i="20"/>
  <c r="F282" i="20"/>
  <c r="M282" i="20" s="1"/>
  <c r="N282" i="20" s="1"/>
  <c r="E282" i="20"/>
  <c r="D282" i="20"/>
  <c r="K266" i="20"/>
  <c r="K282" i="20" s="1"/>
  <c r="G252" i="20"/>
  <c r="L247" i="20"/>
  <c r="K247" i="20"/>
  <c r="H247" i="20"/>
  <c r="F247" i="20"/>
  <c r="E247" i="20"/>
  <c r="D247" i="20"/>
  <c r="D244" i="20"/>
  <c r="D245" i="20" s="1"/>
  <c r="E243" i="20"/>
  <c r="D243" i="20"/>
  <c r="D251" i="20" s="1"/>
  <c r="K214" i="20"/>
  <c r="K213" i="20"/>
  <c r="K212" i="20" s="1"/>
  <c r="K211" i="20" s="1"/>
  <c r="K244" i="20" s="1"/>
  <c r="K245" i="20" s="1"/>
  <c r="H213" i="20"/>
  <c r="H212" i="20" s="1"/>
  <c r="H211" i="20" s="1"/>
  <c r="H244" i="20" s="1"/>
  <c r="L212" i="20"/>
  <c r="L211" i="20" s="1"/>
  <c r="L244" i="20" s="1"/>
  <c r="L245" i="20" s="1"/>
  <c r="G212" i="20"/>
  <c r="F212" i="20"/>
  <c r="M212" i="20" s="1"/>
  <c r="N212" i="20" s="1"/>
  <c r="D212" i="20"/>
  <c r="G211" i="20"/>
  <c r="E204" i="20"/>
  <c r="E244" i="20" s="1"/>
  <c r="E245" i="20" s="1"/>
  <c r="K201" i="20"/>
  <c r="G201" i="20"/>
  <c r="F201" i="20"/>
  <c r="M201" i="20" s="1"/>
  <c r="N201" i="20" s="1"/>
  <c r="K200" i="20"/>
  <c r="G200" i="20"/>
  <c r="F200" i="20"/>
  <c r="M200" i="20" s="1"/>
  <c r="N200" i="20" s="1"/>
  <c r="K199" i="20"/>
  <c r="G199" i="20"/>
  <c r="F199" i="20"/>
  <c r="M199" i="20" s="1"/>
  <c r="N199" i="20" s="1"/>
  <c r="E197" i="20"/>
  <c r="E203" i="20" s="1"/>
  <c r="D197" i="20"/>
  <c r="D203" i="20" s="1"/>
  <c r="K196" i="20"/>
  <c r="L196" i="20" s="1"/>
  <c r="K195" i="20"/>
  <c r="L195" i="20" s="1"/>
  <c r="K193" i="20"/>
  <c r="G193" i="20"/>
  <c r="F193" i="20"/>
  <c r="M193" i="20" s="1"/>
  <c r="N193" i="20" s="1"/>
  <c r="K191" i="20"/>
  <c r="G191" i="20"/>
  <c r="F191" i="20"/>
  <c r="M191" i="20" s="1"/>
  <c r="N191" i="20" s="1"/>
  <c r="H186" i="20"/>
  <c r="K185" i="20"/>
  <c r="H185" i="20"/>
  <c r="G185" i="20"/>
  <c r="K176" i="20"/>
  <c r="H176" i="20"/>
  <c r="G176" i="20"/>
  <c r="G168" i="20" s="1"/>
  <c r="F168" i="20"/>
  <c r="K174" i="20"/>
  <c r="K168" i="20" s="1"/>
  <c r="G174" i="20"/>
  <c r="M174" i="20"/>
  <c r="N174" i="20" s="1"/>
  <c r="E174" i="20"/>
  <c r="D174" i="20"/>
  <c r="H168" i="20"/>
  <c r="D161" i="20"/>
  <c r="L146" i="20"/>
  <c r="H138" i="20"/>
  <c r="J138" i="20" s="1"/>
  <c r="H137" i="20"/>
  <c r="J137" i="20" s="1"/>
  <c r="H136" i="20"/>
  <c r="J136" i="20" s="1"/>
  <c r="H135" i="20"/>
  <c r="J135" i="20" s="1"/>
  <c r="H134" i="20"/>
  <c r="J134" i="20" s="1"/>
  <c r="H133" i="20"/>
  <c r="J125" i="20" s="1"/>
  <c r="H132" i="20"/>
  <c r="J132" i="20" s="1"/>
  <c r="M131" i="20"/>
  <c r="N131" i="20" s="1"/>
  <c r="H130" i="20"/>
  <c r="J130" i="20" s="1"/>
  <c r="H129" i="20"/>
  <c r="J129" i="20" s="1"/>
  <c r="H128" i="20"/>
  <c r="J128" i="20" s="1"/>
  <c r="H127" i="20"/>
  <c r="J127" i="20" s="1"/>
  <c r="H126" i="20"/>
  <c r="J126" i="20" s="1"/>
  <c r="H125" i="20"/>
  <c r="H123" i="20"/>
  <c r="J123" i="20" s="1"/>
  <c r="H122" i="20"/>
  <c r="J122" i="20" s="1"/>
  <c r="H121" i="20"/>
  <c r="J121" i="20" s="1"/>
  <c r="H120" i="20"/>
  <c r="J120" i="20" s="1"/>
  <c r="H119" i="20"/>
  <c r="J119" i="20" s="1"/>
  <c r="H117" i="20"/>
  <c r="J117" i="20" s="1"/>
  <c r="M117" i="20" s="1"/>
  <c r="L109" i="20"/>
  <c r="H109" i="20"/>
  <c r="D109" i="20"/>
  <c r="H107" i="20"/>
  <c r="H104" i="20" s="1"/>
  <c r="E107" i="20"/>
  <c r="L105" i="20"/>
  <c r="K104" i="20"/>
  <c r="K97" i="20" s="1"/>
  <c r="G104" i="20"/>
  <c r="F104" i="20"/>
  <c r="F97" i="20" s="1"/>
  <c r="F110" i="20" s="1"/>
  <c r="E104" i="20"/>
  <c r="D103" i="20"/>
  <c r="H101" i="20"/>
  <c r="H98" i="20" s="1"/>
  <c r="H97" i="20" s="1"/>
  <c r="L98" i="20"/>
  <c r="K98" i="20"/>
  <c r="G98" i="20"/>
  <c r="F98" i="20"/>
  <c r="E98" i="20"/>
  <c r="E103" i="20" s="1"/>
  <c r="G97" i="20"/>
  <c r="E97" i="20"/>
  <c r="D97" i="20"/>
  <c r="H96" i="20"/>
  <c r="G96" i="20"/>
  <c r="G139" i="20" s="1"/>
  <c r="F96" i="20"/>
  <c r="M124" i="20" s="1"/>
  <c r="N124" i="20" s="1"/>
  <c r="H90" i="20"/>
  <c r="H118" i="20" s="1"/>
  <c r="G90" i="20"/>
  <c r="G118" i="20" s="1"/>
  <c r="G148" i="20" s="1"/>
  <c r="F90" i="20"/>
  <c r="F118" i="20" s="1"/>
  <c r="F148" i="20" s="1"/>
  <c r="H89" i="20"/>
  <c r="J89" i="20" s="1"/>
  <c r="K88" i="20"/>
  <c r="L88" i="20" s="1"/>
  <c r="F88" i="20"/>
  <c r="L79" i="20"/>
  <c r="L77" i="20"/>
  <c r="L76" i="20"/>
  <c r="L201" i="20" s="1"/>
  <c r="E75" i="20"/>
  <c r="D75" i="20"/>
  <c r="D74" i="20" s="1"/>
  <c r="E74" i="20"/>
  <c r="L73" i="20"/>
  <c r="L72" i="20"/>
  <c r="K71" i="20"/>
  <c r="H71" i="20"/>
  <c r="G71" i="20"/>
  <c r="E71" i="20"/>
  <c r="D71" i="20"/>
  <c r="L70" i="20"/>
  <c r="L69" i="20"/>
  <c r="H69" i="20"/>
  <c r="G69" i="20"/>
  <c r="E69" i="20"/>
  <c r="D69" i="20"/>
  <c r="L68" i="20"/>
  <c r="L200" i="20" s="1"/>
  <c r="L67" i="20"/>
  <c r="L66" i="20"/>
  <c r="L65" i="20"/>
  <c r="L193" i="20" s="1"/>
  <c r="K63" i="20"/>
  <c r="H63" i="20"/>
  <c r="G63" i="20"/>
  <c r="E63" i="20"/>
  <c r="D63" i="20"/>
  <c r="L61" i="20"/>
  <c r="L199" i="20" s="1"/>
  <c r="L58" i="20"/>
  <c r="L191" i="20" s="1"/>
  <c r="L57" i="20"/>
  <c r="L56" i="20" s="1"/>
  <c r="L54" i="20" s="1"/>
  <c r="H57" i="20"/>
  <c r="G57" i="20"/>
  <c r="G56" i="20" s="1"/>
  <c r="G54" i="20" s="1"/>
  <c r="M57" i="20"/>
  <c r="N57" i="20" s="1"/>
  <c r="E57" i="20"/>
  <c r="E56" i="20" s="1"/>
  <c r="E54" i="20" s="1"/>
  <c r="D57" i="20"/>
  <c r="K56" i="20"/>
  <c r="H56" i="20"/>
  <c r="H54" i="20" s="1"/>
  <c r="D56" i="20"/>
  <c r="D54" i="20" s="1"/>
  <c r="K54" i="20"/>
  <c r="L53" i="20"/>
  <c r="L47" i="20"/>
  <c r="L45" i="20"/>
  <c r="H45" i="20"/>
  <c r="H88" i="20" s="1"/>
  <c r="G45" i="20"/>
  <c r="G88" i="20" s="1"/>
  <c r="G131" i="20" s="1"/>
  <c r="K39" i="20"/>
  <c r="F39" i="20"/>
  <c r="E39" i="20"/>
  <c r="E82" i="20" s="1"/>
  <c r="D39" i="20"/>
  <c r="D82" i="20" s="1"/>
  <c r="L38" i="20"/>
  <c r="L185" i="20" s="1"/>
  <c r="L32" i="20"/>
  <c r="L176" i="20" s="1"/>
  <c r="L30" i="20"/>
  <c r="L174" i="20" s="1"/>
  <c r="K24" i="20"/>
  <c r="K82" i="20" s="1"/>
  <c r="H24" i="20"/>
  <c r="G24" i="20"/>
  <c r="F24" i="20"/>
  <c r="J104" i="20" l="1"/>
  <c r="M104" i="20" s="1"/>
  <c r="N104" i="20" s="1"/>
  <c r="G375" i="20"/>
  <c r="G374" i="20" s="1"/>
  <c r="F312" i="20"/>
  <c r="M39" i="20"/>
  <c r="N39" i="20" s="1"/>
  <c r="H375" i="20"/>
  <c r="H374" i="20" s="1"/>
  <c r="M71" i="20"/>
  <c r="N71" i="20" s="1"/>
  <c r="M96" i="20"/>
  <c r="N96" i="20" s="1"/>
  <c r="M429" i="20"/>
  <c r="N429" i="20" s="1"/>
  <c r="M377" i="20"/>
  <c r="N377" i="20" s="1"/>
  <c r="M176" i="20"/>
  <c r="N176" i="20" s="1"/>
  <c r="M346" i="20"/>
  <c r="N346" i="20" s="1"/>
  <c r="H39" i="20"/>
  <c r="L39" i="20"/>
  <c r="H306" i="20"/>
  <c r="H312" i="20" s="1"/>
  <c r="M24" i="20"/>
  <c r="N24" i="20" s="1"/>
  <c r="M88" i="20"/>
  <c r="N88" i="20" s="1"/>
  <c r="H82" i="20"/>
  <c r="G39" i="20"/>
  <c r="G82" i="20" s="1"/>
  <c r="G110" i="20" s="1"/>
  <c r="F82" i="20"/>
  <c r="F116" i="20" s="1"/>
  <c r="L168" i="20"/>
  <c r="E110" i="20"/>
  <c r="K75" i="20"/>
  <c r="E109" i="20"/>
  <c r="L104" i="20"/>
  <c r="L97" i="20" s="1"/>
  <c r="F125" i="20"/>
  <c r="F198" i="20" s="1"/>
  <c r="M198" i="20" s="1"/>
  <c r="N198" i="20" s="1"/>
  <c r="M344" i="20"/>
  <c r="N344" i="20" s="1"/>
  <c r="M343" i="20"/>
  <c r="N343" i="20" s="1"/>
  <c r="F375" i="20"/>
  <c r="F374" i="20" s="1"/>
  <c r="L375" i="20"/>
  <c r="L374" i="20" s="1"/>
  <c r="J54" i="20"/>
  <c r="M54" i="20" s="1"/>
  <c r="N54" i="20" s="1"/>
  <c r="M63" i="20"/>
  <c r="N63" i="20" s="1"/>
  <c r="M90" i="20"/>
  <c r="N90" i="20" s="1"/>
  <c r="M401" i="20"/>
  <c r="N401" i="20" s="1"/>
  <c r="M185" i="20"/>
  <c r="N185" i="20" s="1"/>
  <c r="M351" i="20"/>
  <c r="N351" i="20" s="1"/>
  <c r="F211" i="20"/>
  <c r="J82" i="20"/>
  <c r="J168" i="20"/>
  <c r="M168" i="20" s="1"/>
  <c r="N168" i="20" s="1"/>
  <c r="G75" i="20"/>
  <c r="J400" i="20"/>
  <c r="M400" i="20" s="1"/>
  <c r="N400" i="20" s="1"/>
  <c r="J376" i="20"/>
  <c r="M376" i="20" s="1"/>
  <c r="N376" i="20" s="1"/>
  <c r="L24" i="20"/>
  <c r="L82" i="20" s="1"/>
  <c r="L110" i="20" s="1"/>
  <c r="M203" i="20"/>
  <c r="N203" i="20" s="1"/>
  <c r="H75" i="20"/>
  <c r="L63" i="20"/>
  <c r="I168" i="20"/>
  <c r="I211" i="20"/>
  <c r="J98" i="20"/>
  <c r="M98" i="20" s="1"/>
  <c r="N98" i="20" s="1"/>
  <c r="I97" i="20"/>
  <c r="I75" i="20"/>
  <c r="I74" i="20" s="1"/>
  <c r="I306" i="20"/>
  <c r="I312" i="20" s="1"/>
  <c r="I131" i="20"/>
  <c r="I375" i="20"/>
  <c r="I374" i="20" s="1"/>
  <c r="I124" i="20"/>
  <c r="L266" i="20"/>
  <c r="L282" i="20" s="1"/>
  <c r="F161" i="20"/>
  <c r="H110" i="20"/>
  <c r="L161" i="20"/>
  <c r="E161" i="20"/>
  <c r="E140" i="20"/>
  <c r="G74" i="20"/>
  <c r="G203" i="20"/>
  <c r="K203" i="20"/>
  <c r="L203" i="20" s="1"/>
  <c r="L75" i="20"/>
  <c r="K74" i="20"/>
  <c r="L74" i="20" s="1"/>
  <c r="G125" i="20"/>
  <c r="G198" i="20" s="1"/>
  <c r="G197" i="20" s="1"/>
  <c r="H148" i="20"/>
  <c r="E251" i="20"/>
  <c r="K110" i="20"/>
  <c r="K96" i="20"/>
  <c r="L306" i="20"/>
  <c r="L312" i="20" s="1"/>
  <c r="H74" i="20"/>
  <c r="H245" i="20"/>
  <c r="G124" i="20"/>
  <c r="H243" i="20"/>
  <c r="G244" i="20"/>
  <c r="G245" i="20" s="1"/>
  <c r="G306" i="20"/>
  <c r="G312" i="20" s="1"/>
  <c r="K306" i="20"/>
  <c r="K312" i="20" s="1"/>
  <c r="L351" i="20"/>
  <c r="L71" i="20"/>
  <c r="J375" i="20" l="1"/>
  <c r="M375" i="20" s="1"/>
  <c r="N375" i="20" s="1"/>
  <c r="M118" i="20"/>
  <c r="N118" i="20" s="1"/>
  <c r="J148" i="20"/>
  <c r="M148" i="20" s="1"/>
  <c r="N148" i="20" s="1"/>
  <c r="J306" i="20"/>
  <c r="J312" i="20" s="1"/>
  <c r="J74" i="20"/>
  <c r="M74" i="20" s="1"/>
  <c r="N74" i="20" s="1"/>
  <c r="F140" i="20"/>
  <c r="M82" i="20"/>
  <c r="N82" i="20" s="1"/>
  <c r="G140" i="20"/>
  <c r="G154" i="20" s="1"/>
  <c r="G161" i="20"/>
  <c r="M125" i="20"/>
  <c r="N125" i="20" s="1"/>
  <c r="M56" i="20"/>
  <c r="N56" i="20" s="1"/>
  <c r="F244" i="20"/>
  <c r="M211" i="20"/>
  <c r="N211" i="20" s="1"/>
  <c r="J243" i="20"/>
  <c r="I139" i="20"/>
  <c r="I125" i="20" s="1"/>
  <c r="I198" i="20" s="1"/>
  <c r="I197" i="20" s="1"/>
  <c r="I244" i="20"/>
  <c r="J97" i="20"/>
  <c r="I110" i="20"/>
  <c r="I116" i="20" s="1"/>
  <c r="I146" i="20" s="1"/>
  <c r="I203" i="20"/>
  <c r="K124" i="20"/>
  <c r="K139" i="20" s="1"/>
  <c r="L139" i="20" s="1"/>
  <c r="L96" i="20"/>
  <c r="G186" i="20"/>
  <c r="G116" i="20"/>
  <c r="H251" i="20"/>
  <c r="K161" i="20"/>
  <c r="K125" i="20"/>
  <c r="K140" i="20" s="1"/>
  <c r="K154" i="20" s="1"/>
  <c r="L154" i="20" s="1"/>
  <c r="H140" i="20"/>
  <c r="H116" i="20"/>
  <c r="H161" i="20"/>
  <c r="J374" i="20" l="1"/>
  <c r="M374" i="20" s="1"/>
  <c r="N374" i="20" s="1"/>
  <c r="M75" i="20"/>
  <c r="N75" i="20" s="1"/>
  <c r="M197" i="20"/>
  <c r="N197" i="20" s="1"/>
  <c r="F186" i="20"/>
  <c r="K116" i="20"/>
  <c r="J110" i="20"/>
  <c r="M97" i="20"/>
  <c r="N97" i="20" s="1"/>
  <c r="F245" i="20"/>
  <c r="M245" i="20" s="1"/>
  <c r="N245" i="20" s="1"/>
  <c r="M244" i="20"/>
  <c r="N244" i="20" s="1"/>
  <c r="J251" i="20"/>
  <c r="J253" i="20" s="1"/>
  <c r="I186" i="20"/>
  <c r="I243" i="20" s="1"/>
  <c r="I245" i="20"/>
  <c r="I140" i="20"/>
  <c r="I161" i="20"/>
  <c r="H154" i="20"/>
  <c r="K198" i="20"/>
  <c r="K131" i="20"/>
  <c r="L125" i="20"/>
  <c r="G243" i="20"/>
  <c r="M110" i="20" l="1"/>
  <c r="N110" i="20" s="1"/>
  <c r="J116" i="20"/>
  <c r="J161" i="20"/>
  <c r="M161" i="20" s="1"/>
  <c r="N161" i="20" s="1"/>
  <c r="J140" i="20"/>
  <c r="M140" i="20" s="1"/>
  <c r="N140" i="20" s="1"/>
  <c r="F243" i="20"/>
  <c r="M186" i="20"/>
  <c r="N186" i="20" s="1"/>
  <c r="I251" i="20"/>
  <c r="I154" i="20"/>
  <c r="G251" i="20"/>
  <c r="L131" i="20"/>
  <c r="L198" i="20"/>
  <c r="L186" i="20" s="1"/>
  <c r="L243" i="20" s="1"/>
  <c r="L251" i="20" s="1"/>
  <c r="L140" i="20"/>
  <c r="K186" i="20"/>
  <c r="K243" i="20" s="1"/>
  <c r="K251" i="20" s="1"/>
  <c r="K197" i="20"/>
  <c r="L197" i="20" s="1"/>
  <c r="M116" i="20" l="1"/>
  <c r="N116" i="20" s="1"/>
  <c r="J146" i="20"/>
  <c r="M146" i="20" s="1"/>
  <c r="N146" i="20" s="1"/>
  <c r="M154" i="20"/>
  <c r="N154" i="20" s="1"/>
  <c r="F251" i="20"/>
  <c r="M243" i="20"/>
  <c r="N243" i="20" s="1"/>
  <c r="I253" i="20"/>
  <c r="G253" i="20"/>
  <c r="F253" i="20" l="1"/>
  <c r="M251" i="20"/>
  <c r="N251" i="20" s="1"/>
  <c r="BC40" i="18"/>
  <c r="BB40" i="18"/>
  <c r="BA40" i="18"/>
  <c r="AZ40" i="18"/>
  <c r="AY40" i="18"/>
  <c r="AX40" i="18"/>
  <c r="AX22" i="18" s="1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BB36" i="18"/>
  <c r="BA36" i="18"/>
  <c r="AX36" i="18"/>
  <c r="AW36" i="18"/>
  <c r="AT36" i="18"/>
  <c r="AS36" i="18"/>
  <c r="AS26" i="18" s="1"/>
  <c r="AP36" i="18"/>
  <c r="AO36" i="18"/>
  <c r="AL36" i="18"/>
  <c r="AK36" i="18"/>
  <c r="AK26" i="18" s="1"/>
  <c r="AH36" i="18"/>
  <c r="AG36" i="18"/>
  <c r="AD36" i="18"/>
  <c r="AC36" i="18"/>
  <c r="AC26" i="18" s="1"/>
  <c r="Z36" i="18"/>
  <c r="Y36" i="18"/>
  <c r="V36" i="18"/>
  <c r="U36" i="18"/>
  <c r="R36" i="18"/>
  <c r="Q36" i="18"/>
  <c r="N36" i="18"/>
  <c r="M36" i="18"/>
  <c r="J36" i="18"/>
  <c r="I36" i="18"/>
  <c r="F36" i="18"/>
  <c r="E36" i="18"/>
  <c r="BC36" i="18"/>
  <c r="AZ36" i="18"/>
  <c r="AY36" i="18"/>
  <c r="AV36" i="18"/>
  <c r="AU36" i="18"/>
  <c r="AR36" i="18"/>
  <c r="AQ36" i="18"/>
  <c r="AN36" i="18"/>
  <c r="AM36" i="18"/>
  <c r="AJ36" i="18"/>
  <c r="AI36" i="18"/>
  <c r="AF36" i="18"/>
  <c r="AE36" i="18"/>
  <c r="AB36" i="18"/>
  <c r="AA36" i="18"/>
  <c r="X36" i="18"/>
  <c r="W36" i="18"/>
  <c r="T36" i="18"/>
  <c r="S36" i="18"/>
  <c r="P36" i="18"/>
  <c r="P26" i="18" s="1"/>
  <c r="O36" i="18"/>
  <c r="L36" i="18"/>
  <c r="K36" i="18"/>
  <c r="H36" i="18"/>
  <c r="G36" i="18"/>
  <c r="BC34" i="18"/>
  <c r="BB34" i="18"/>
  <c r="BA34" i="18"/>
  <c r="AZ34" i="18"/>
  <c r="AY34" i="18"/>
  <c r="AX34" i="18"/>
  <c r="AX29" i="18" s="1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BB29" i="18"/>
  <c r="BB26" i="18" s="1"/>
  <c r="BA29" i="18"/>
  <c r="AW30" i="18"/>
  <c r="AW29" i="18" s="1"/>
  <c r="AV30" i="18"/>
  <c r="AU30" i="18"/>
  <c r="AT30" i="18"/>
  <c r="AT29" i="18" s="1"/>
  <c r="AT26" i="18" s="1"/>
  <c r="AS30" i="18"/>
  <c r="AS29" i="18" s="1"/>
  <c r="AR30" i="18"/>
  <c r="AQ30" i="18"/>
  <c r="AP30" i="18"/>
  <c r="AP29" i="18" s="1"/>
  <c r="AP26" i="18" s="1"/>
  <c r="AO30" i="18"/>
  <c r="AO29" i="18" s="1"/>
  <c r="AN30" i="18"/>
  <c r="AM30" i="18"/>
  <c r="AL30" i="18"/>
  <c r="AL29" i="18" s="1"/>
  <c r="AL26" i="18" s="1"/>
  <c r="AK30" i="18"/>
  <c r="AK29" i="18" s="1"/>
  <c r="AJ30" i="18"/>
  <c r="AI30" i="18"/>
  <c r="AH30" i="18"/>
  <c r="AH29" i="18" s="1"/>
  <c r="AH26" i="18" s="1"/>
  <c r="AG30" i="18"/>
  <c r="AG29" i="18" s="1"/>
  <c r="AF30" i="18"/>
  <c r="AE30" i="18"/>
  <c r="AD30" i="18"/>
  <c r="AD29" i="18" s="1"/>
  <c r="AD26" i="18" s="1"/>
  <c r="AC30" i="18"/>
  <c r="AC29" i="18" s="1"/>
  <c r="AB30" i="18"/>
  <c r="AA30" i="18"/>
  <c r="Z30" i="18"/>
  <c r="Z29" i="18" s="1"/>
  <c r="Z26" i="18" s="1"/>
  <c r="Y30" i="18"/>
  <c r="Y29" i="18" s="1"/>
  <c r="X29" i="18"/>
  <c r="W30" i="18"/>
  <c r="V29" i="18"/>
  <c r="V26" i="18" s="1"/>
  <c r="V20" i="18" s="1"/>
  <c r="U30" i="18"/>
  <c r="U29" i="18" s="1"/>
  <c r="T30" i="18"/>
  <c r="S30" i="18"/>
  <c r="R30" i="18"/>
  <c r="R29" i="18" s="1"/>
  <c r="R26" i="18" s="1"/>
  <c r="R20" i="18" s="1"/>
  <c r="R18" i="18" s="1"/>
  <c r="Q30" i="18"/>
  <c r="Q29" i="18" s="1"/>
  <c r="P30" i="18"/>
  <c r="O30" i="18"/>
  <c r="N30" i="18"/>
  <c r="N29" i="18" s="1"/>
  <c r="N26" i="18" s="1"/>
  <c r="N20" i="18" s="1"/>
  <c r="N18" i="18" s="1"/>
  <c r="M30" i="18"/>
  <c r="M29" i="18" s="1"/>
  <c r="L30" i="18"/>
  <c r="K30" i="18"/>
  <c r="J30" i="18"/>
  <c r="J29" i="18" s="1"/>
  <c r="J26" i="18" s="1"/>
  <c r="J20" i="18" s="1"/>
  <c r="J18" i="18" s="1"/>
  <c r="I30" i="18"/>
  <c r="I29" i="18" s="1"/>
  <c r="H30" i="18"/>
  <c r="G30" i="18"/>
  <c r="F30" i="18"/>
  <c r="F29" i="18" s="1"/>
  <c r="F26" i="18" s="1"/>
  <c r="F20" i="18" s="1"/>
  <c r="F18" i="18" s="1"/>
  <c r="E30" i="18"/>
  <c r="E29" i="18" s="1"/>
  <c r="BC29" i="18"/>
  <c r="BC26" i="18" s="1"/>
  <c r="AZ29" i="18"/>
  <c r="AZ26" i="18" s="1"/>
  <c r="AZ25" i="18" s="1"/>
  <c r="AY29" i="18"/>
  <c r="AV29" i="18"/>
  <c r="AU29" i="18"/>
  <c r="AR29" i="18"/>
  <c r="AR26" i="18" s="1"/>
  <c r="AR25" i="18" s="1"/>
  <c r="AQ29" i="18"/>
  <c r="AN29" i="18"/>
  <c r="AM29" i="18"/>
  <c r="AJ29" i="18"/>
  <c r="AJ26" i="18" s="1"/>
  <c r="AJ25" i="18" s="1"/>
  <c r="AI29" i="18"/>
  <c r="AF29" i="18"/>
  <c r="AE29" i="18"/>
  <c r="AB29" i="18"/>
  <c r="AB26" i="18" s="1"/>
  <c r="AB25" i="18" s="1"/>
  <c r="AA29" i="18"/>
  <c r="W29" i="18"/>
  <c r="W26" i="18" s="1"/>
  <c r="W25" i="18" s="1"/>
  <c r="T29" i="18"/>
  <c r="S29" i="18"/>
  <c r="S26" i="18" s="1"/>
  <c r="S25" i="18" s="1"/>
  <c r="P29" i="18"/>
  <c r="O29" i="18"/>
  <c r="O26" i="18" s="1"/>
  <c r="O25" i="18" s="1"/>
  <c r="L29" i="18"/>
  <c r="K29" i="18"/>
  <c r="K26" i="18" s="1"/>
  <c r="K25" i="18" s="1"/>
  <c r="H29" i="18"/>
  <c r="G29" i="18"/>
  <c r="G26" i="18" s="1"/>
  <c r="G25" i="18" s="1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AY26" i="18"/>
  <c r="AY25" i="18" s="1"/>
  <c r="AW26" i="18"/>
  <c r="AW25" i="18" s="1"/>
  <c r="AU26" i="18"/>
  <c r="AU25" i="18" s="1"/>
  <c r="AQ26" i="18"/>
  <c r="AO26" i="18"/>
  <c r="AO25" i="18" s="1"/>
  <c r="AM26" i="18"/>
  <c r="AM20" i="18" s="1"/>
  <c r="AM18" i="18" s="1"/>
  <c r="AI26" i="18"/>
  <c r="AI25" i="18" s="1"/>
  <c r="AG26" i="18"/>
  <c r="AG25" i="18" s="1"/>
  <c r="AE26" i="18"/>
  <c r="AA26" i="18"/>
  <c r="AA20" i="18" s="1"/>
  <c r="AA18" i="18" s="1"/>
  <c r="Y26" i="18"/>
  <c r="Y25" i="18" s="1"/>
  <c r="T26" i="18"/>
  <c r="T25" i="18" s="1"/>
  <c r="L26" i="18"/>
  <c r="L25" i="18" s="1"/>
  <c r="H26" i="18"/>
  <c r="H25" i="18" s="1"/>
  <c r="AQ25" i="18"/>
  <c r="AM25" i="18"/>
  <c r="AE25" i="18"/>
  <c r="AA25" i="18"/>
  <c r="J25" i="18"/>
  <c r="BC22" i="18"/>
  <c r="BB22" i="18"/>
  <c r="BA22" i="18"/>
  <c r="AZ22" i="18"/>
  <c r="AY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AY20" i="18"/>
  <c r="AY18" i="18" s="1"/>
  <c r="AU20" i="18"/>
  <c r="AQ20" i="18"/>
  <c r="AI20" i="18"/>
  <c r="AI18" i="18" s="1"/>
  <c r="AE20" i="18"/>
  <c r="AE18" i="18" s="1"/>
  <c r="W20" i="18"/>
  <c r="W18" i="18" s="1"/>
  <c r="T20" i="18"/>
  <c r="T18" i="18" s="1"/>
  <c r="O20" i="18"/>
  <c r="O18" i="18" s="1"/>
  <c r="G20" i="18"/>
  <c r="G18" i="18" s="1"/>
  <c r="AU18" i="18"/>
  <c r="AQ18" i="18"/>
  <c r="D40" i="18"/>
  <c r="D36" i="18"/>
  <c r="D34" i="18"/>
  <c r="D30" i="18"/>
  <c r="D29" i="18" s="1"/>
  <c r="D27" i="18"/>
  <c r="D22" i="18"/>
  <c r="AX26" i="18" l="1"/>
  <c r="BC25" i="18"/>
  <c r="BC20" i="18"/>
  <c r="BC18" i="18" s="1"/>
  <c r="BA26" i="18"/>
  <c r="V18" i="18"/>
  <c r="AJ20" i="18"/>
  <c r="AJ18" i="18" s="1"/>
  <c r="AZ20" i="18"/>
  <c r="AZ18" i="18" s="1"/>
  <c r="P25" i="18"/>
  <c r="P20" i="18"/>
  <c r="P18" i="18" s="1"/>
  <c r="AK25" i="18"/>
  <c r="AK20" i="18"/>
  <c r="AK18" i="18" s="1"/>
  <c r="BA25" i="18"/>
  <c r="BA20" i="18"/>
  <c r="BA18" i="18" s="1"/>
  <c r="AC25" i="18"/>
  <c r="AC20" i="18"/>
  <c r="AC18" i="18" s="1"/>
  <c r="AS25" i="18"/>
  <c r="AS20" i="18"/>
  <c r="AS18" i="18" s="1"/>
  <c r="AD25" i="18"/>
  <c r="AD20" i="18"/>
  <c r="AD18" i="18" s="1"/>
  <c r="AH25" i="18"/>
  <c r="AH20" i="18"/>
  <c r="AH18" i="18" s="1"/>
  <c r="AL25" i="18"/>
  <c r="AL20" i="18"/>
  <c r="AL18" i="18" s="1"/>
  <c r="AP25" i="18"/>
  <c r="AP20" i="18"/>
  <c r="AP18" i="18" s="1"/>
  <c r="AT25" i="18"/>
  <c r="AT20" i="18"/>
  <c r="AT18" i="18" s="1"/>
  <c r="AX25" i="18"/>
  <c r="AX20" i="18"/>
  <c r="AX18" i="18" s="1"/>
  <c r="H20" i="18"/>
  <c r="H18" i="18" s="1"/>
  <c r="Y20" i="18"/>
  <c r="Y18" i="18" s="1"/>
  <c r="AO20" i="18"/>
  <c r="AO18" i="18" s="1"/>
  <c r="N25" i="18"/>
  <c r="K20" i="18"/>
  <c r="K18" i="18" s="1"/>
  <c r="S20" i="18"/>
  <c r="S18" i="18" s="1"/>
  <c r="R25" i="18"/>
  <c r="L20" i="18"/>
  <c r="L18" i="18" s="1"/>
  <c r="AB20" i="18"/>
  <c r="AB18" i="18" s="1"/>
  <c r="AG20" i="18"/>
  <c r="AG18" i="18" s="1"/>
  <c r="AR20" i="18"/>
  <c r="AR18" i="18" s="1"/>
  <c r="AW20" i="18"/>
  <c r="AW18" i="18" s="1"/>
  <c r="F25" i="18"/>
  <c r="V25" i="18"/>
  <c r="AF26" i="18"/>
  <c r="AN26" i="18"/>
  <c r="AV26" i="18"/>
  <c r="E26" i="18"/>
  <c r="I26" i="18"/>
  <c r="M26" i="18"/>
  <c r="Q26" i="18"/>
  <c r="U26" i="18"/>
  <c r="Z25" i="18"/>
  <c r="Z20" i="18"/>
  <c r="Z18" i="18" s="1"/>
  <c r="BB25" i="18"/>
  <c r="BB20" i="18"/>
  <c r="BB18" i="18" s="1"/>
  <c r="K252" i="20"/>
  <c r="M253" i="20"/>
  <c r="N253" i="20" s="1"/>
  <c r="X26" i="18"/>
  <c r="X25" i="18" s="1"/>
  <c r="D26" i="18"/>
  <c r="U25" i="18" l="1"/>
  <c r="U20" i="18"/>
  <c r="U18" i="18" s="1"/>
  <c r="AV25" i="18"/>
  <c r="AV20" i="18"/>
  <c r="AV18" i="18" s="1"/>
  <c r="AN25" i="18"/>
  <c r="AN20" i="18"/>
  <c r="AN18" i="18" s="1"/>
  <c r="E25" i="18"/>
  <c r="E20" i="18"/>
  <c r="E18" i="18" s="1"/>
  <c r="Q25" i="18"/>
  <c r="Q20" i="18"/>
  <c r="Q18" i="18" s="1"/>
  <c r="M25" i="18"/>
  <c r="M20" i="18"/>
  <c r="M18" i="18" s="1"/>
  <c r="I25" i="18"/>
  <c r="I20" i="18"/>
  <c r="I18" i="18" s="1"/>
  <c r="AF25" i="18"/>
  <c r="AF20" i="18"/>
  <c r="AF18" i="18" s="1"/>
  <c r="X20" i="18"/>
  <c r="X18" i="18" s="1"/>
  <c r="L252" i="20"/>
  <c r="K253" i="20"/>
  <c r="L253" i="20" s="1"/>
  <c r="D25" i="18"/>
  <c r="D20" i="18"/>
  <c r="D18" i="18" s="1"/>
  <c r="AT31" i="17" l="1"/>
  <c r="AY31" i="17"/>
  <c r="AD36" i="17"/>
  <c r="AD34" i="17"/>
  <c r="AD27" i="17"/>
  <c r="AD22" i="17"/>
  <c r="D36" i="17"/>
  <c r="D34" i="17"/>
  <c r="D29" i="17" s="1"/>
  <c r="D27" i="17"/>
  <c r="D22" i="17"/>
  <c r="AY44" i="17"/>
  <c r="AT44" i="17"/>
  <c r="AO44" i="17"/>
  <c r="AJ44" i="17"/>
  <c r="AI44" i="17"/>
  <c r="AH44" i="17"/>
  <c r="AG44" i="17"/>
  <c r="AF44" i="17"/>
  <c r="AY43" i="17"/>
  <c r="AT43" i="17"/>
  <c r="AO43" i="17"/>
  <c r="AJ43" i="17"/>
  <c r="AI43" i="17"/>
  <c r="AH43" i="17"/>
  <c r="AG43" i="17"/>
  <c r="AF43" i="17"/>
  <c r="AY42" i="17"/>
  <c r="AT42" i="17"/>
  <c r="AO42" i="17"/>
  <c r="AJ42" i="17"/>
  <c r="AI42" i="17"/>
  <c r="AH42" i="17"/>
  <c r="AG42" i="17"/>
  <c r="AF42" i="17"/>
  <c r="AY41" i="17"/>
  <c r="AT41" i="17"/>
  <c r="AO41" i="17"/>
  <c r="AJ41" i="17"/>
  <c r="AI41" i="17"/>
  <c r="AH41" i="17"/>
  <c r="AG41" i="17"/>
  <c r="AF41" i="17"/>
  <c r="BC22" i="17"/>
  <c r="BB22" i="17"/>
  <c r="AH22" i="17" s="1"/>
  <c r="AY38" i="17"/>
  <c r="AT38" i="17"/>
  <c r="AO38" i="17"/>
  <c r="AO37" i="17" s="1"/>
  <c r="AJ38" i="17"/>
  <c r="AI38" i="17"/>
  <c r="AH38" i="17"/>
  <c r="AG38" i="17"/>
  <c r="AF38" i="17"/>
  <c r="BC36" i="17"/>
  <c r="BB36" i="17"/>
  <c r="BA36" i="17"/>
  <c r="AW36" i="17"/>
  <c r="AS36" i="17"/>
  <c r="AR36" i="17"/>
  <c r="AQ36" i="17"/>
  <c r="AH37" i="17"/>
  <c r="AJ37" i="17"/>
  <c r="AI37" i="17"/>
  <c r="AG37" i="17"/>
  <c r="AZ36" i="17"/>
  <c r="AX36" i="17"/>
  <c r="AV36" i="17"/>
  <c r="AP36" i="17"/>
  <c r="AN36" i="17"/>
  <c r="AI36" i="17" s="1"/>
  <c r="AL36" i="17"/>
  <c r="AY35" i="17"/>
  <c r="AT35" i="17"/>
  <c r="AO35" i="17"/>
  <c r="AJ35" i="17"/>
  <c r="AI35" i="17"/>
  <c r="AH35" i="17"/>
  <c r="AG35" i="17"/>
  <c r="AF35" i="17"/>
  <c r="BC34" i="17"/>
  <c r="BB34" i="17"/>
  <c r="BA34" i="17"/>
  <c r="AZ34" i="17"/>
  <c r="AF34" i="17" s="1"/>
  <c r="AX34" i="17"/>
  <c r="AW34" i="17"/>
  <c r="AV34" i="17"/>
  <c r="AU34" i="17"/>
  <c r="AS34" i="17"/>
  <c r="AR34" i="17"/>
  <c r="AQ34" i="17"/>
  <c r="AP34" i="17"/>
  <c r="AN34" i="17"/>
  <c r="AI34" i="17" s="1"/>
  <c r="AM34" i="17"/>
  <c r="AL34" i="17"/>
  <c r="AG34" i="17" s="1"/>
  <c r="AK34" i="17"/>
  <c r="AJ34" i="17"/>
  <c r="AH34" i="17"/>
  <c r="AY33" i="17"/>
  <c r="AT33" i="17"/>
  <c r="AO33" i="17"/>
  <c r="AJ33" i="17"/>
  <c r="AI33" i="17"/>
  <c r="AH33" i="17"/>
  <c r="AG33" i="17"/>
  <c r="AF33" i="17"/>
  <c r="AY32" i="17"/>
  <c r="AT32" i="17"/>
  <c r="AT30" i="17" s="1"/>
  <c r="AO32" i="17"/>
  <c r="AO30" i="17" s="1"/>
  <c r="AJ32" i="17"/>
  <c r="AI32" i="17"/>
  <c r="AH32" i="17"/>
  <c r="AG32" i="17"/>
  <c r="AF32" i="17"/>
  <c r="AO31" i="17"/>
  <c r="AE31" i="17" s="1"/>
  <c r="AI31" i="17"/>
  <c r="AH31" i="17"/>
  <c r="AG31" i="17"/>
  <c r="AF31" i="17"/>
  <c r="BB29" i="17"/>
  <c r="AX29" i="17"/>
  <c r="AX26" i="17" s="1"/>
  <c r="AV29" i="17"/>
  <c r="AR29" i="17"/>
  <c r="AI30" i="17"/>
  <c r="AH30" i="17"/>
  <c r="AJ30" i="17"/>
  <c r="BC29" i="17"/>
  <c r="BC26" i="17" s="1"/>
  <c r="BA29" i="17"/>
  <c r="AW29" i="17"/>
  <c r="AW26" i="17" s="1"/>
  <c r="AU29" i="17"/>
  <c r="AS29" i="17"/>
  <c r="AS26" i="17" s="1"/>
  <c r="AQ29" i="17"/>
  <c r="AQ26" i="17" s="1"/>
  <c r="AY28" i="17"/>
  <c r="AT28" i="17"/>
  <c r="AO28" i="17"/>
  <c r="AI28" i="17"/>
  <c r="AH28" i="17"/>
  <c r="AG28" i="17"/>
  <c r="AF28" i="17"/>
  <c r="BA26" i="17"/>
  <c r="AY27" i="17"/>
  <c r="AT27" i="17"/>
  <c r="AO27" i="17"/>
  <c r="AN27" i="17"/>
  <c r="AH27" i="17"/>
  <c r="AI27" i="17"/>
  <c r="AG27" i="17"/>
  <c r="AY24" i="17"/>
  <c r="AT24" i="17"/>
  <c r="AO24" i="17"/>
  <c r="AJ24" i="17"/>
  <c r="AE24" i="17" s="1"/>
  <c r="AI24" i="17"/>
  <c r="AH24" i="17"/>
  <c r="AG24" i="17"/>
  <c r="AF24" i="17"/>
  <c r="AY23" i="17"/>
  <c r="AT23" i="17"/>
  <c r="AO23" i="17"/>
  <c r="AJ23" i="17"/>
  <c r="AI23" i="17"/>
  <c r="AH23" i="17"/>
  <c r="AG23" i="17"/>
  <c r="AF23" i="17"/>
  <c r="BA22" i="17"/>
  <c r="AZ22" i="17"/>
  <c r="AX22" i="17"/>
  <c r="AW22" i="17"/>
  <c r="AV22" i="17"/>
  <c r="AU22" i="17"/>
  <c r="AS22" i="17"/>
  <c r="AR22" i="17"/>
  <c r="AQ22" i="17"/>
  <c r="AP22" i="17"/>
  <c r="AN22" i="17"/>
  <c r="AM22" i="17"/>
  <c r="AL22" i="17"/>
  <c r="AG22" i="17" s="1"/>
  <c r="AK22" i="17"/>
  <c r="AJ22" i="17" s="1"/>
  <c r="AY21" i="17"/>
  <c r="AT21" i="17"/>
  <c r="AO21" i="17"/>
  <c r="AJ21" i="17"/>
  <c r="AI21" i="17"/>
  <c r="AH21" i="17"/>
  <c r="AG21" i="17"/>
  <c r="AF21" i="17"/>
  <c r="AY19" i="17"/>
  <c r="AT19" i="17"/>
  <c r="AO19" i="17"/>
  <c r="AJ19" i="17"/>
  <c r="AE19" i="17" s="1"/>
  <c r="AI19" i="17"/>
  <c r="AH19" i="17"/>
  <c r="AG19" i="17"/>
  <c r="AF19" i="17"/>
  <c r="F19" i="17"/>
  <c r="G19" i="17"/>
  <c r="H19" i="17"/>
  <c r="I19" i="17"/>
  <c r="F21" i="17"/>
  <c r="G21" i="17"/>
  <c r="H21" i="17"/>
  <c r="I21" i="17"/>
  <c r="F23" i="17"/>
  <c r="G23" i="17"/>
  <c r="H23" i="17"/>
  <c r="I23" i="17"/>
  <c r="F24" i="17"/>
  <c r="G24" i="17"/>
  <c r="H24" i="17"/>
  <c r="I24" i="17"/>
  <c r="F28" i="17"/>
  <c r="G28" i="17"/>
  <c r="H28" i="17"/>
  <c r="I28" i="17"/>
  <c r="F31" i="17"/>
  <c r="G31" i="17"/>
  <c r="H31" i="17"/>
  <c r="I31" i="17"/>
  <c r="F32" i="17"/>
  <c r="G32" i="17"/>
  <c r="H32" i="17"/>
  <c r="I32" i="17"/>
  <c r="F33" i="17"/>
  <c r="G33" i="17"/>
  <c r="H33" i="17"/>
  <c r="I33" i="17"/>
  <c r="F35" i="17"/>
  <c r="G35" i="17"/>
  <c r="H35" i="17"/>
  <c r="I35" i="17"/>
  <c r="F38" i="17"/>
  <c r="G38" i="17"/>
  <c r="H38" i="17"/>
  <c r="I38" i="17"/>
  <c r="F41" i="17"/>
  <c r="G41" i="17"/>
  <c r="H41" i="17"/>
  <c r="I41" i="17"/>
  <c r="F42" i="17"/>
  <c r="G42" i="17"/>
  <c r="H42" i="17"/>
  <c r="I42" i="17"/>
  <c r="F43" i="17"/>
  <c r="G43" i="17"/>
  <c r="H43" i="17"/>
  <c r="I43" i="17"/>
  <c r="F44" i="17"/>
  <c r="G44" i="17"/>
  <c r="H44" i="17"/>
  <c r="I44" i="17"/>
  <c r="Y44" i="17"/>
  <c r="Y43" i="17"/>
  <c r="Y42" i="17"/>
  <c r="Y41" i="17"/>
  <c r="Y38" i="17"/>
  <c r="AC36" i="17"/>
  <c r="AA36" i="17"/>
  <c r="AB36" i="17"/>
  <c r="Z36" i="17"/>
  <c r="Y35" i="17"/>
  <c r="AC34" i="17"/>
  <c r="AB34" i="17"/>
  <c r="AA34" i="17"/>
  <c r="Z34" i="17"/>
  <c r="Y33" i="17"/>
  <c r="Y32" i="17"/>
  <c r="Y30" i="17" s="1"/>
  <c r="Y31" i="17"/>
  <c r="AC29" i="17"/>
  <c r="AB29" i="17"/>
  <c r="Y28" i="17"/>
  <c r="AC27" i="17"/>
  <c r="AB27" i="17"/>
  <c r="AA27" i="17"/>
  <c r="Z27" i="17"/>
  <c r="Y24" i="17"/>
  <c r="Y23" i="17"/>
  <c r="AC22" i="17"/>
  <c r="AB22" i="17"/>
  <c r="AA22" i="17"/>
  <c r="Z22" i="17"/>
  <c r="Y22" i="17" s="1"/>
  <c r="Y21" i="17"/>
  <c r="Y19" i="17"/>
  <c r="T44" i="17"/>
  <c r="T43" i="17"/>
  <c r="T42" i="17"/>
  <c r="T41" i="17"/>
  <c r="T38" i="17"/>
  <c r="X36" i="17"/>
  <c r="W36" i="17"/>
  <c r="V36" i="17"/>
  <c r="U36" i="17"/>
  <c r="T35" i="17"/>
  <c r="X34" i="17"/>
  <c r="X29" i="17" s="1"/>
  <c r="W34" i="17"/>
  <c r="V34" i="17"/>
  <c r="U34" i="17"/>
  <c r="T33" i="17"/>
  <c r="T32" i="17"/>
  <c r="T31" i="17"/>
  <c r="W29" i="17"/>
  <c r="W26" i="17" s="1"/>
  <c r="U29" i="17"/>
  <c r="U26" i="17" s="1"/>
  <c r="T28" i="17"/>
  <c r="X27" i="17"/>
  <c r="W27" i="17"/>
  <c r="V27" i="17"/>
  <c r="T27" i="17" s="1"/>
  <c r="U27" i="17"/>
  <c r="T24" i="17"/>
  <c r="T23" i="17"/>
  <c r="X22" i="17"/>
  <c r="W22" i="17"/>
  <c r="V22" i="17"/>
  <c r="T22" i="17" s="1"/>
  <c r="U22" i="17"/>
  <c r="T21" i="17"/>
  <c r="T19" i="17"/>
  <c r="O44" i="17"/>
  <c r="O43" i="17"/>
  <c r="O42" i="17"/>
  <c r="O41" i="17"/>
  <c r="O38" i="17"/>
  <c r="O37" i="17" s="1"/>
  <c r="P36" i="17"/>
  <c r="S36" i="17"/>
  <c r="O35" i="17"/>
  <c r="S34" i="17"/>
  <c r="R34" i="17"/>
  <c r="Q34" i="17"/>
  <c r="P34" i="17"/>
  <c r="O33" i="17"/>
  <c r="O31" i="17"/>
  <c r="Q29" i="17"/>
  <c r="S29" i="17"/>
  <c r="S26" i="17" s="1"/>
  <c r="O28" i="17"/>
  <c r="S27" i="17"/>
  <c r="R27" i="17"/>
  <c r="Q27" i="17"/>
  <c r="P27" i="17"/>
  <c r="O27" i="17" s="1"/>
  <c r="O24" i="17"/>
  <c r="O23" i="17"/>
  <c r="S22" i="17"/>
  <c r="R22" i="17"/>
  <c r="Q22" i="17"/>
  <c r="P22" i="17"/>
  <c r="O21" i="17"/>
  <c r="O19" i="17"/>
  <c r="J19" i="17"/>
  <c r="J21" i="17"/>
  <c r="E21" i="17" s="1"/>
  <c r="J23" i="17"/>
  <c r="E23" i="17" s="1"/>
  <c r="J24" i="17"/>
  <c r="E24" i="17" s="1"/>
  <c r="J28" i="17"/>
  <c r="J31" i="17"/>
  <c r="J32" i="17"/>
  <c r="J33" i="17"/>
  <c r="E33" i="17" s="1"/>
  <c r="J35" i="17"/>
  <c r="E35" i="17" s="1"/>
  <c r="J38" i="17"/>
  <c r="J41" i="17"/>
  <c r="J42" i="17"/>
  <c r="J43" i="17"/>
  <c r="J44" i="17"/>
  <c r="I37" i="17"/>
  <c r="L36" i="17"/>
  <c r="M36" i="17"/>
  <c r="N34" i="17"/>
  <c r="I34" i="17" s="1"/>
  <c r="M34" i="17"/>
  <c r="H34" i="17" s="1"/>
  <c r="L34" i="17"/>
  <c r="G34" i="17" s="1"/>
  <c r="I30" i="17"/>
  <c r="M29" i="17"/>
  <c r="N29" i="17"/>
  <c r="I29" i="17" s="1"/>
  <c r="N27" i="17"/>
  <c r="I27" i="17" s="1"/>
  <c r="M27" i="17"/>
  <c r="H27" i="17" s="1"/>
  <c r="L27" i="17"/>
  <c r="G27" i="17" s="1"/>
  <c r="N22" i="17"/>
  <c r="L22" i="17"/>
  <c r="G22" i="17" s="1"/>
  <c r="F37" i="17"/>
  <c r="K34" i="17"/>
  <c r="F34" i="17" s="1"/>
  <c r="K27" i="17"/>
  <c r="F27" i="17" s="1"/>
  <c r="K22" i="17"/>
  <c r="F22" i="17" s="1"/>
  <c r="AH43" i="16"/>
  <c r="AG43" i="16"/>
  <c r="AF43" i="16"/>
  <c r="BE43" i="16" s="1"/>
  <c r="AE43" i="16"/>
  <c r="BD43" i="16" s="1"/>
  <c r="AD43" i="16"/>
  <c r="AH42" i="16"/>
  <c r="AG42" i="16"/>
  <c r="BF42" i="16" s="1"/>
  <c r="AF42" i="16"/>
  <c r="BE42" i="16" s="1"/>
  <c r="AE42" i="16"/>
  <c r="AD42" i="16"/>
  <c r="AH41" i="16"/>
  <c r="BG41" i="16" s="1"/>
  <c r="AG41" i="16"/>
  <c r="BF41" i="16" s="1"/>
  <c r="AF41" i="16"/>
  <c r="AE41" i="16"/>
  <c r="AD41" i="16"/>
  <c r="BC41" i="16" s="1"/>
  <c r="AH40" i="16"/>
  <c r="BG40" i="16" s="1"/>
  <c r="AG40" i="16"/>
  <c r="AF40" i="16"/>
  <c r="AE40" i="16"/>
  <c r="BD40" i="16" s="1"/>
  <c r="AD40" i="16"/>
  <c r="BC40" i="16" s="1"/>
  <c r="AH37" i="16"/>
  <c r="AG37" i="16"/>
  <c r="AF37" i="16"/>
  <c r="BE37" i="16" s="1"/>
  <c r="AE37" i="16"/>
  <c r="BD37" i="16" s="1"/>
  <c r="AD37" i="16"/>
  <c r="AH34" i="16"/>
  <c r="AG34" i="16"/>
  <c r="BF34" i="16" s="1"/>
  <c r="AF34" i="16"/>
  <c r="BE34" i="16" s="1"/>
  <c r="AE34" i="16"/>
  <c r="AD34" i="16"/>
  <c r="AH32" i="16"/>
  <c r="BG32" i="16" s="1"/>
  <c r="AG32" i="16"/>
  <c r="BF32" i="16" s="1"/>
  <c r="AF32" i="16"/>
  <c r="AE32" i="16"/>
  <c r="AD32" i="16"/>
  <c r="BC32" i="16" s="1"/>
  <c r="AH31" i="16"/>
  <c r="BG31" i="16" s="1"/>
  <c r="AG31" i="16"/>
  <c r="AF31" i="16"/>
  <c r="AE31" i="16"/>
  <c r="BD31" i="16" s="1"/>
  <c r="AD31" i="16"/>
  <c r="BC31" i="16" s="1"/>
  <c r="AH30" i="16"/>
  <c r="AG30" i="16"/>
  <c r="AF30" i="16"/>
  <c r="BE30" i="16" s="1"/>
  <c r="AE30" i="16"/>
  <c r="BD30" i="16" s="1"/>
  <c r="AD30" i="16"/>
  <c r="AH27" i="16"/>
  <c r="AG27" i="16"/>
  <c r="BF27" i="16" s="1"/>
  <c r="AF27" i="16"/>
  <c r="BE27" i="16" s="1"/>
  <c r="AE27" i="16"/>
  <c r="AD27" i="16"/>
  <c r="AH23" i="16"/>
  <c r="BG23" i="16" s="1"/>
  <c r="AG23" i="16"/>
  <c r="BF23" i="16" s="1"/>
  <c r="AF23" i="16"/>
  <c r="AE23" i="16"/>
  <c r="AD23" i="16"/>
  <c r="BC23" i="16" s="1"/>
  <c r="AH22" i="16"/>
  <c r="BG22" i="16" s="1"/>
  <c r="AG22" i="16"/>
  <c r="AF22" i="16"/>
  <c r="AE22" i="16"/>
  <c r="BD22" i="16" s="1"/>
  <c r="AD22" i="16"/>
  <c r="BC22" i="16" s="1"/>
  <c r="AH20" i="16"/>
  <c r="AG20" i="16"/>
  <c r="AF20" i="16"/>
  <c r="BE20" i="16" s="1"/>
  <c r="AE20" i="16"/>
  <c r="BD20" i="16" s="1"/>
  <c r="AD20" i="16"/>
  <c r="AH18" i="16"/>
  <c r="AG18" i="16"/>
  <c r="BF18" i="16" s="1"/>
  <c r="AF18" i="16"/>
  <c r="BE18" i="16" s="1"/>
  <c r="AE18" i="16"/>
  <c r="AD18" i="16"/>
  <c r="I43" i="16"/>
  <c r="H43" i="16"/>
  <c r="G43" i="16"/>
  <c r="F43" i="16"/>
  <c r="E43" i="16"/>
  <c r="I42" i="16"/>
  <c r="H42" i="16"/>
  <c r="G42" i="16"/>
  <c r="F42" i="16"/>
  <c r="E42" i="16"/>
  <c r="I41" i="16"/>
  <c r="H41" i="16"/>
  <c r="G41" i="16"/>
  <c r="F41" i="16"/>
  <c r="E41" i="16"/>
  <c r="I40" i="16"/>
  <c r="H40" i="16"/>
  <c r="G40" i="16"/>
  <c r="F40" i="16"/>
  <c r="E40" i="16"/>
  <c r="I37" i="16"/>
  <c r="H37" i="16"/>
  <c r="G37" i="16"/>
  <c r="F37" i="16"/>
  <c r="E37" i="16"/>
  <c r="I34" i="16"/>
  <c r="H34" i="16"/>
  <c r="G34" i="16"/>
  <c r="F34" i="16"/>
  <c r="E34" i="16"/>
  <c r="I32" i="16"/>
  <c r="H32" i="16"/>
  <c r="G32" i="16"/>
  <c r="F32" i="16"/>
  <c r="E32" i="16"/>
  <c r="I31" i="16"/>
  <c r="H31" i="16"/>
  <c r="G31" i="16"/>
  <c r="F31" i="16"/>
  <c r="E31" i="16"/>
  <c r="I30" i="16"/>
  <c r="H30" i="16"/>
  <c r="G30" i="16"/>
  <c r="F30" i="16"/>
  <c r="E30" i="16"/>
  <c r="I27" i="16"/>
  <c r="H27" i="16"/>
  <c r="G27" i="16"/>
  <c r="F27" i="16"/>
  <c r="E27" i="16"/>
  <c r="I23" i="16"/>
  <c r="H23" i="16"/>
  <c r="G23" i="16"/>
  <c r="F23" i="16"/>
  <c r="E23" i="16"/>
  <c r="I22" i="16"/>
  <c r="H22" i="16"/>
  <c r="G22" i="16"/>
  <c r="F22" i="16"/>
  <c r="E22" i="16"/>
  <c r="I20" i="16"/>
  <c r="H20" i="16"/>
  <c r="G20" i="16"/>
  <c r="F20" i="16"/>
  <c r="E20" i="16"/>
  <c r="I18" i="16"/>
  <c r="H18" i="16"/>
  <c r="G18" i="16"/>
  <c r="F18" i="16"/>
  <c r="E18" i="16"/>
  <c r="J18" i="14"/>
  <c r="K18" i="14"/>
  <c r="L18" i="14"/>
  <c r="M18" i="14"/>
  <c r="N18" i="14"/>
  <c r="J20" i="14"/>
  <c r="K20" i="14"/>
  <c r="L20" i="14"/>
  <c r="M20" i="14"/>
  <c r="N20" i="14"/>
  <c r="J22" i="14"/>
  <c r="K22" i="14"/>
  <c r="L22" i="14"/>
  <c r="M22" i="14"/>
  <c r="N22" i="14"/>
  <c r="J23" i="14"/>
  <c r="K23" i="14"/>
  <c r="L23" i="14"/>
  <c r="M23" i="14"/>
  <c r="N23" i="14"/>
  <c r="J27" i="14"/>
  <c r="K27" i="14"/>
  <c r="L27" i="14"/>
  <c r="M27" i="14"/>
  <c r="N27" i="14"/>
  <c r="J30" i="14"/>
  <c r="K30" i="14"/>
  <c r="L30" i="14"/>
  <c r="M30" i="14"/>
  <c r="N30" i="14"/>
  <c r="J31" i="14"/>
  <c r="K31" i="14"/>
  <c r="L31" i="14"/>
  <c r="M31" i="14"/>
  <c r="N31" i="14"/>
  <c r="J32" i="14"/>
  <c r="K32" i="14"/>
  <c r="L32" i="14"/>
  <c r="M32" i="14"/>
  <c r="N32" i="14"/>
  <c r="J34" i="14"/>
  <c r="K34" i="14"/>
  <c r="L34" i="14"/>
  <c r="M34" i="14"/>
  <c r="N34" i="14"/>
  <c r="J37" i="14"/>
  <c r="K37" i="14"/>
  <c r="L37" i="14"/>
  <c r="M37" i="14"/>
  <c r="N37" i="14"/>
  <c r="J40" i="14"/>
  <c r="K40" i="14"/>
  <c r="L40" i="14"/>
  <c r="M40" i="14"/>
  <c r="N40" i="14"/>
  <c r="J41" i="14"/>
  <c r="K41" i="14"/>
  <c r="L41" i="14"/>
  <c r="M41" i="14"/>
  <c r="N41" i="14"/>
  <c r="J42" i="14"/>
  <c r="K42" i="14"/>
  <c r="L42" i="14"/>
  <c r="M42" i="14"/>
  <c r="N42" i="14"/>
  <c r="J43" i="14"/>
  <c r="K43" i="14"/>
  <c r="L43" i="14"/>
  <c r="M43" i="14"/>
  <c r="N43" i="14"/>
  <c r="BB39" i="16"/>
  <c r="BA39" i="16"/>
  <c r="BA21" i="16" s="1"/>
  <c r="AZ39" i="16"/>
  <c r="AY39" i="16"/>
  <c r="AX39" i="16"/>
  <c r="BB35" i="16"/>
  <c r="AX35" i="16"/>
  <c r="BA35" i="16"/>
  <c r="AZ35" i="16"/>
  <c r="AY35" i="16"/>
  <c r="BB33" i="16"/>
  <c r="BA33" i="16"/>
  <c r="AZ33" i="16"/>
  <c r="AZ28" i="16" s="1"/>
  <c r="AZ25" i="16" s="1"/>
  <c r="AY33" i="16"/>
  <c r="AX33" i="16"/>
  <c r="BA28" i="16"/>
  <c r="BA25" i="16" s="1"/>
  <c r="BB28" i="16"/>
  <c r="AY28" i="16"/>
  <c r="AX28" i="16"/>
  <c r="AX25" i="16" s="1"/>
  <c r="BB26" i="16"/>
  <c r="BA26" i="16"/>
  <c r="AZ26" i="16"/>
  <c r="AY26" i="16"/>
  <c r="AX26" i="16"/>
  <c r="BB21" i="16"/>
  <c r="AZ21" i="16"/>
  <c r="AY21" i="16"/>
  <c r="AX21" i="16"/>
  <c r="AW39" i="16"/>
  <c r="AV39" i="16"/>
  <c r="AV21" i="16" s="1"/>
  <c r="AU39" i="16"/>
  <c r="AT39" i="16"/>
  <c r="AS39" i="16"/>
  <c r="AW35" i="16"/>
  <c r="AV35" i="16"/>
  <c r="AS35" i="16"/>
  <c r="AU35" i="16"/>
  <c r="AT35" i="16"/>
  <c r="AW33" i="16"/>
  <c r="AW28" i="16" s="1"/>
  <c r="AV33" i="16"/>
  <c r="AU33" i="16"/>
  <c r="AT33" i="16"/>
  <c r="AS33" i="16"/>
  <c r="AS28" i="16" s="1"/>
  <c r="AT28" i="16"/>
  <c r="AV28" i="16"/>
  <c r="AU28" i="16"/>
  <c r="AU25" i="16" s="1"/>
  <c r="AW26" i="16"/>
  <c r="AV26" i="16"/>
  <c r="AU26" i="16"/>
  <c r="AT26" i="16"/>
  <c r="AS26" i="16"/>
  <c r="AW21" i="16"/>
  <c r="AU21" i="16"/>
  <c r="AT21" i="16"/>
  <c r="AS21" i="16"/>
  <c r="AR39" i="16"/>
  <c r="AQ39" i="16"/>
  <c r="AP39" i="16"/>
  <c r="AO39" i="16"/>
  <c r="AO21" i="16" s="1"/>
  <c r="AN39" i="16"/>
  <c r="AR35" i="16"/>
  <c r="AP35" i="16"/>
  <c r="AO35" i="16"/>
  <c r="AN35" i="16"/>
  <c r="AQ35" i="16"/>
  <c r="AR33" i="16"/>
  <c r="AQ33" i="16"/>
  <c r="AP33" i="16"/>
  <c r="AO33" i="16"/>
  <c r="AN33" i="16"/>
  <c r="AR28" i="16"/>
  <c r="AQ28" i="16"/>
  <c r="AO28" i="16"/>
  <c r="AN28" i="16"/>
  <c r="AP28" i="16"/>
  <c r="AR26" i="16"/>
  <c r="AQ26" i="16"/>
  <c r="AQ25" i="16" s="1"/>
  <c r="AP26" i="16"/>
  <c r="AO26" i="16"/>
  <c r="AN26" i="16"/>
  <c r="AR21" i="16"/>
  <c r="AQ21" i="16"/>
  <c r="AP21" i="16"/>
  <c r="AN21" i="16"/>
  <c r="AM39" i="16"/>
  <c r="AH39" i="16" s="1"/>
  <c r="AL39" i="16"/>
  <c r="AK39" i="16"/>
  <c r="AF39" i="16" s="1"/>
  <c r="AJ39" i="16"/>
  <c r="AE39" i="16" s="1"/>
  <c r="AI39" i="16"/>
  <c r="AD39" i="16" s="1"/>
  <c r="AE36" i="16"/>
  <c r="AL35" i="16"/>
  <c r="AI35" i="16"/>
  <c r="AM33" i="16"/>
  <c r="AL33" i="16"/>
  <c r="AG33" i="16" s="1"/>
  <c r="AK33" i="16"/>
  <c r="AF33" i="16" s="1"/>
  <c r="AJ33" i="16"/>
  <c r="AE33" i="16" s="1"/>
  <c r="AI33" i="16"/>
  <c r="AH29" i="16"/>
  <c r="AG29" i="16"/>
  <c r="AF29" i="16"/>
  <c r="AD29" i="16"/>
  <c r="AM28" i="16"/>
  <c r="AJ28" i="16"/>
  <c r="AI28" i="16"/>
  <c r="AM26" i="16"/>
  <c r="AH26" i="16" s="1"/>
  <c r="AL26" i="16"/>
  <c r="AK26" i="16"/>
  <c r="AF26" i="16" s="1"/>
  <c r="AJ26" i="16"/>
  <c r="AE26" i="16" s="1"/>
  <c r="AI26" i="16"/>
  <c r="AD26" i="16" s="1"/>
  <c r="AM21" i="16"/>
  <c r="AH21" i="16" s="1"/>
  <c r="AL21" i="16"/>
  <c r="AK21" i="16"/>
  <c r="AI21" i="16"/>
  <c r="AD21" i="16" s="1"/>
  <c r="AC39" i="16"/>
  <c r="AB39" i="16"/>
  <c r="AB21" i="16" s="1"/>
  <c r="AA39" i="16"/>
  <c r="Z39" i="16"/>
  <c r="Y39" i="16"/>
  <c r="AC35" i="16"/>
  <c r="AB35" i="16"/>
  <c r="AA35" i="16"/>
  <c r="Z35" i="16"/>
  <c r="Y35" i="16"/>
  <c r="AC33" i="16"/>
  <c r="AB33" i="16"/>
  <c r="AA33" i="16"/>
  <c r="Z33" i="16"/>
  <c r="Z28" i="16" s="1"/>
  <c r="Y33" i="16"/>
  <c r="AB28" i="16"/>
  <c r="AA28" i="16"/>
  <c r="AC28" i="16"/>
  <c r="Y28" i="16"/>
  <c r="Y25" i="16" s="1"/>
  <c r="AC26" i="16"/>
  <c r="AC25" i="16" s="1"/>
  <c r="AB26" i="16"/>
  <c r="AA26" i="16"/>
  <c r="Z26" i="16"/>
  <c r="Y26" i="16"/>
  <c r="AC21" i="16"/>
  <c r="AA21" i="16"/>
  <c r="Z21" i="16"/>
  <c r="Y21" i="16"/>
  <c r="X39" i="16"/>
  <c r="W39" i="16"/>
  <c r="W21" i="16" s="1"/>
  <c r="V39" i="16"/>
  <c r="U39" i="16"/>
  <c r="T39" i="16"/>
  <c r="S39" i="16"/>
  <c r="S21" i="16" s="1"/>
  <c r="R39" i="16"/>
  <c r="Q39" i="16"/>
  <c r="P39" i="16"/>
  <c r="O39" i="16"/>
  <c r="O21" i="16" s="1"/>
  <c r="N39" i="16"/>
  <c r="M39" i="16"/>
  <c r="L39" i="16"/>
  <c r="G39" i="16" s="1"/>
  <c r="K39" i="16"/>
  <c r="J39" i="16"/>
  <c r="X35" i="16"/>
  <c r="W35" i="16"/>
  <c r="V35" i="16"/>
  <c r="T35" i="16"/>
  <c r="S35" i="16"/>
  <c r="R35" i="16"/>
  <c r="Q35" i="16"/>
  <c r="P35" i="16"/>
  <c r="O35" i="16"/>
  <c r="L35" i="16"/>
  <c r="U35" i="16"/>
  <c r="M35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H33" i="16" s="1"/>
  <c r="L33" i="16"/>
  <c r="G33" i="16" s="1"/>
  <c r="K33" i="16"/>
  <c r="J33" i="16"/>
  <c r="X28" i="16"/>
  <c r="W28" i="16"/>
  <c r="T28" i="16"/>
  <c r="S28" i="16"/>
  <c r="P28" i="16"/>
  <c r="O28" i="16"/>
  <c r="G29" i="16"/>
  <c r="V28" i="16"/>
  <c r="U28" i="16"/>
  <c r="R28" i="16"/>
  <c r="Q28" i="16"/>
  <c r="N28" i="16"/>
  <c r="M28" i="16"/>
  <c r="J28" i="16"/>
  <c r="X26" i="16"/>
  <c r="W26" i="16"/>
  <c r="V26" i="16"/>
  <c r="U26" i="16"/>
  <c r="T26" i="16"/>
  <c r="S26" i="16"/>
  <c r="R26" i="16"/>
  <c r="R25" i="16" s="1"/>
  <c r="Q26" i="16"/>
  <c r="P26" i="16"/>
  <c r="O26" i="16"/>
  <c r="N26" i="16"/>
  <c r="M26" i="16"/>
  <c r="L26" i="16"/>
  <c r="K26" i="16"/>
  <c r="J26" i="16"/>
  <c r="X21" i="16"/>
  <c r="V21" i="16"/>
  <c r="U21" i="16"/>
  <c r="T21" i="16"/>
  <c r="R21" i="16"/>
  <c r="Q21" i="16"/>
  <c r="P21" i="16"/>
  <c r="N21" i="16"/>
  <c r="I21" i="16" s="1"/>
  <c r="M21" i="16"/>
  <c r="L21" i="16"/>
  <c r="J21" i="16"/>
  <c r="AT43" i="15"/>
  <c r="AS43" i="15"/>
  <c r="AR43" i="15"/>
  <c r="AQ43" i="15"/>
  <c r="AP43" i="15"/>
  <c r="AO43" i="15"/>
  <c r="AN43" i="15"/>
  <c r="AT42" i="15"/>
  <c r="AS42" i="15"/>
  <c r="AR42" i="15"/>
  <c r="AQ42" i="15"/>
  <c r="AP42" i="15"/>
  <c r="AO42" i="15"/>
  <c r="AN42" i="15"/>
  <c r="AT41" i="15"/>
  <c r="AS41" i="15"/>
  <c r="AR41" i="15"/>
  <c r="AQ41" i="15"/>
  <c r="AP41" i="15"/>
  <c r="AO41" i="15"/>
  <c r="AN41" i="15"/>
  <c r="AT40" i="15"/>
  <c r="AS40" i="15"/>
  <c r="AR40" i="15"/>
  <c r="AQ40" i="15"/>
  <c r="AP40" i="15"/>
  <c r="AO40" i="15"/>
  <c r="AN40" i="15"/>
  <c r="BV39" i="15"/>
  <c r="BU39" i="15"/>
  <c r="BT39" i="15"/>
  <c r="BS39" i="15"/>
  <c r="BR39" i="15"/>
  <c r="BQ39" i="15"/>
  <c r="BP39" i="15"/>
  <c r="BO39" i="15"/>
  <c r="BN39" i="15"/>
  <c r="BM39" i="15"/>
  <c r="BL39" i="15"/>
  <c r="AQ39" i="15" s="1"/>
  <c r="BK39" i="15"/>
  <c r="BJ39" i="15"/>
  <c r="BI39" i="15"/>
  <c r="BH39" i="15"/>
  <c r="AT39" i="15" s="1"/>
  <c r="BG39" i="15"/>
  <c r="BF39" i="15"/>
  <c r="BE39" i="15"/>
  <c r="BD39" i="15"/>
  <c r="AP39" i="15" s="1"/>
  <c r="BC39" i="15"/>
  <c r="BB39" i="15"/>
  <c r="BA39" i="15"/>
  <c r="AZ39" i="15"/>
  <c r="AS39" i="15" s="1"/>
  <c r="AY39" i="15"/>
  <c r="AX39" i="15"/>
  <c r="AW39" i="15"/>
  <c r="AV39" i="15"/>
  <c r="AO39" i="15" s="1"/>
  <c r="AU39" i="15"/>
  <c r="AR39" i="15"/>
  <c r="AN39" i="15"/>
  <c r="AT37" i="15"/>
  <c r="AS37" i="15"/>
  <c r="AR37" i="15"/>
  <c r="AQ37" i="15"/>
  <c r="AP37" i="15"/>
  <c r="AO37" i="15"/>
  <c r="AN37" i="15"/>
  <c r="BV35" i="15"/>
  <c r="BV25" i="15" s="1"/>
  <c r="BR35" i="15"/>
  <c r="AT36" i="15"/>
  <c r="BU35" i="15"/>
  <c r="BT35" i="15"/>
  <c r="BS35" i="15"/>
  <c r="BQ35" i="15"/>
  <c r="BP35" i="15"/>
  <c r="BO35" i="15"/>
  <c r="BM35" i="15"/>
  <c r="BL35" i="15"/>
  <c r="BK35" i="15"/>
  <c r="BI35" i="15"/>
  <c r="BH35" i="15"/>
  <c r="BG35" i="15"/>
  <c r="BE35" i="15"/>
  <c r="BD35" i="15"/>
  <c r="BC35" i="15"/>
  <c r="BA35" i="15"/>
  <c r="AZ35" i="15"/>
  <c r="AY35" i="15"/>
  <c r="AW35" i="15"/>
  <c r="AV35" i="15"/>
  <c r="AU35" i="15"/>
  <c r="AT34" i="15"/>
  <c r="AS34" i="15"/>
  <c r="AR34" i="15"/>
  <c r="AQ34" i="15"/>
  <c r="AP34" i="15"/>
  <c r="AO34" i="15"/>
  <c r="AN34" i="15"/>
  <c r="BV33" i="15"/>
  <c r="BU33" i="15"/>
  <c r="BT33" i="15"/>
  <c r="BS33" i="15"/>
  <c r="BS28" i="15" s="1"/>
  <c r="BR33" i="15"/>
  <c r="BQ33" i="15"/>
  <c r="BP33" i="15"/>
  <c r="BO33" i="15"/>
  <c r="BN33" i="15"/>
  <c r="BM33" i="15"/>
  <c r="BL33" i="15"/>
  <c r="BK33" i="15"/>
  <c r="BK28" i="15" s="1"/>
  <c r="BJ33" i="15"/>
  <c r="BI33" i="15"/>
  <c r="BH33" i="15"/>
  <c r="BG33" i="15"/>
  <c r="BG28" i="15" s="1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2" i="15"/>
  <c r="AS32" i="15"/>
  <c r="AR32" i="15"/>
  <c r="AQ32" i="15"/>
  <c r="AP32" i="15"/>
  <c r="AO32" i="15"/>
  <c r="AN32" i="15"/>
  <c r="AT31" i="15"/>
  <c r="AS31" i="15"/>
  <c r="AR31" i="15"/>
  <c r="AQ31" i="15"/>
  <c r="AP31" i="15"/>
  <c r="AO31" i="15"/>
  <c r="AN31" i="15"/>
  <c r="AT30" i="15"/>
  <c r="AS30" i="15"/>
  <c r="AR30" i="15"/>
  <c r="AQ30" i="15"/>
  <c r="AP30" i="15"/>
  <c r="AO30" i="15"/>
  <c r="AN30" i="15"/>
  <c r="BV28" i="15"/>
  <c r="BR28" i="15"/>
  <c r="BR25" i="15" s="1"/>
  <c r="AT29" i="15"/>
  <c r="AP29" i="15"/>
  <c r="BU28" i="15"/>
  <c r="BU25" i="15" s="1"/>
  <c r="BU19" i="15" s="1"/>
  <c r="BU17" i="15" s="1"/>
  <c r="BT28" i="15"/>
  <c r="BQ28" i="15"/>
  <c r="BP28" i="15"/>
  <c r="BP25" i="15" s="1"/>
  <c r="BP24" i="15" s="1"/>
  <c r="BM28" i="15"/>
  <c r="BM25" i="15" s="1"/>
  <c r="BM19" i="15" s="1"/>
  <c r="BM17" i="15" s="1"/>
  <c r="BL28" i="15"/>
  <c r="BL25" i="15" s="1"/>
  <c r="BL24" i="15" s="1"/>
  <c r="BI28" i="15"/>
  <c r="BH28" i="15"/>
  <c r="BH25" i="15" s="1"/>
  <c r="BH24" i="15" s="1"/>
  <c r="BE28" i="15"/>
  <c r="BE25" i="15" s="1"/>
  <c r="BE19" i="15" s="1"/>
  <c r="BE17" i="15" s="1"/>
  <c r="BD28" i="15"/>
  <c r="BA28" i="15"/>
  <c r="AZ28" i="15"/>
  <c r="AZ25" i="15" s="1"/>
  <c r="AZ19" i="15" s="1"/>
  <c r="AZ17" i="15" s="1"/>
  <c r="AW28" i="15"/>
  <c r="AV28" i="15"/>
  <c r="AV25" i="15" s="1"/>
  <c r="AT27" i="15"/>
  <c r="AS27" i="15"/>
  <c r="AR27" i="15"/>
  <c r="AQ27" i="15"/>
  <c r="AP27" i="15"/>
  <c r="AO27" i="15"/>
  <c r="AN27" i="15"/>
  <c r="BV26" i="15"/>
  <c r="BU26" i="15"/>
  <c r="BT26" i="15"/>
  <c r="BS26" i="15"/>
  <c r="BS25" i="15" s="1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Q26" i="15"/>
  <c r="BE24" i="15"/>
  <c r="AT23" i="15"/>
  <c r="AS23" i="15"/>
  <c r="AR23" i="15"/>
  <c r="AQ23" i="15"/>
  <c r="AP23" i="15"/>
  <c r="AO23" i="15"/>
  <c r="AN23" i="15"/>
  <c r="AT22" i="15"/>
  <c r="AS22" i="15"/>
  <c r="AR22" i="15"/>
  <c r="AQ22" i="15"/>
  <c r="AP22" i="15"/>
  <c r="AO22" i="15"/>
  <c r="AN22" i="15"/>
  <c r="BV21" i="15"/>
  <c r="BU21" i="15"/>
  <c r="BT21" i="15"/>
  <c r="BS21" i="15"/>
  <c r="BR21" i="15"/>
  <c r="BQ21" i="15"/>
  <c r="BP21" i="15"/>
  <c r="BO21" i="15"/>
  <c r="BN21" i="15"/>
  <c r="AS21" i="15" s="1"/>
  <c r="BM21" i="15"/>
  <c r="BL21" i="15"/>
  <c r="BK21" i="15"/>
  <c r="BJ21" i="15"/>
  <c r="AO21" i="15" s="1"/>
  <c r="BI21" i="15"/>
  <c r="BH21" i="15"/>
  <c r="BG21" i="15"/>
  <c r="BF21" i="15"/>
  <c r="AR21" i="15" s="1"/>
  <c r="BE21" i="15"/>
  <c r="BD21" i="15"/>
  <c r="BC21" i="15"/>
  <c r="BB21" i="15"/>
  <c r="AN21" i="15" s="1"/>
  <c r="BA21" i="15"/>
  <c r="AZ21" i="15"/>
  <c r="AY21" i="15"/>
  <c r="AX21" i="15"/>
  <c r="AQ21" i="15" s="1"/>
  <c r="AW21" i="15"/>
  <c r="AV21" i="15"/>
  <c r="AU21" i="15"/>
  <c r="AT21" i="15"/>
  <c r="AP21" i="15"/>
  <c r="AT20" i="15"/>
  <c r="AS20" i="15"/>
  <c r="AR20" i="15"/>
  <c r="AQ20" i="15"/>
  <c r="AP20" i="15"/>
  <c r="AO20" i="15"/>
  <c r="AN20" i="15"/>
  <c r="BP19" i="15"/>
  <c r="BP17" i="15" s="1"/>
  <c r="AT18" i="15"/>
  <c r="AS18" i="15"/>
  <c r="AR18" i="15"/>
  <c r="AQ18" i="15"/>
  <c r="AP18" i="15"/>
  <c r="AO18" i="15"/>
  <c r="AN18" i="15"/>
  <c r="E18" i="15"/>
  <c r="F18" i="15"/>
  <c r="G18" i="15"/>
  <c r="H18" i="15"/>
  <c r="I18" i="15"/>
  <c r="J18" i="15"/>
  <c r="K18" i="15"/>
  <c r="E20" i="15"/>
  <c r="F20" i="15"/>
  <c r="G20" i="15"/>
  <c r="H20" i="15"/>
  <c r="I20" i="15"/>
  <c r="J20" i="15"/>
  <c r="K20" i="15"/>
  <c r="E22" i="15"/>
  <c r="F22" i="15"/>
  <c r="G22" i="15"/>
  <c r="H22" i="15"/>
  <c r="I22" i="15"/>
  <c r="J22" i="15"/>
  <c r="K22" i="15"/>
  <c r="E23" i="15"/>
  <c r="F23" i="15"/>
  <c r="G23" i="15"/>
  <c r="H23" i="15"/>
  <c r="I23" i="15"/>
  <c r="J23" i="15"/>
  <c r="K23" i="15"/>
  <c r="E27" i="15"/>
  <c r="F27" i="15"/>
  <c r="G27" i="15"/>
  <c r="H27" i="15"/>
  <c r="I27" i="15"/>
  <c r="J27" i="15"/>
  <c r="K27" i="15"/>
  <c r="E30" i="15"/>
  <c r="F30" i="15"/>
  <c r="G30" i="15"/>
  <c r="H30" i="15"/>
  <c r="I30" i="15"/>
  <c r="J30" i="15"/>
  <c r="K30" i="15"/>
  <c r="E31" i="15"/>
  <c r="F31" i="15"/>
  <c r="G31" i="15"/>
  <c r="H31" i="15"/>
  <c r="I31" i="15"/>
  <c r="J31" i="15"/>
  <c r="K31" i="15"/>
  <c r="E32" i="15"/>
  <c r="F32" i="15"/>
  <c r="G32" i="15"/>
  <c r="H32" i="15"/>
  <c r="I32" i="15"/>
  <c r="J32" i="15"/>
  <c r="K32" i="15"/>
  <c r="E34" i="15"/>
  <c r="F34" i="15"/>
  <c r="G34" i="15"/>
  <c r="H34" i="15"/>
  <c r="I34" i="15"/>
  <c r="J34" i="15"/>
  <c r="K34" i="15"/>
  <c r="E37" i="15"/>
  <c r="F37" i="15"/>
  <c r="G37" i="15"/>
  <c r="H37" i="15"/>
  <c r="I37" i="15"/>
  <c r="J37" i="15"/>
  <c r="K37" i="15"/>
  <c r="E40" i="15"/>
  <c r="F40" i="15"/>
  <c r="G40" i="15"/>
  <c r="H40" i="15"/>
  <c r="I40" i="15"/>
  <c r="J40" i="15"/>
  <c r="K40" i="15"/>
  <c r="E41" i="15"/>
  <c r="F41" i="15"/>
  <c r="G41" i="15"/>
  <c r="H41" i="15"/>
  <c r="I41" i="15"/>
  <c r="J41" i="15"/>
  <c r="K41" i="15"/>
  <c r="E42" i="15"/>
  <c r="F42" i="15"/>
  <c r="G42" i="15"/>
  <c r="H42" i="15"/>
  <c r="I42" i="15"/>
  <c r="J42" i="15"/>
  <c r="K42" i="15"/>
  <c r="E43" i="15"/>
  <c r="F43" i="15"/>
  <c r="G43" i="15"/>
  <c r="H43" i="15"/>
  <c r="I43" i="15"/>
  <c r="J43" i="15"/>
  <c r="K43" i="15"/>
  <c r="AM39" i="15"/>
  <c r="AL39" i="15"/>
  <c r="AK39" i="15"/>
  <c r="AJ39" i="15"/>
  <c r="AI39" i="15"/>
  <c r="AI21" i="15" s="1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K39" i="15" s="1"/>
  <c r="Q39" i="15"/>
  <c r="AK35" i="15"/>
  <c r="AG35" i="15"/>
  <c r="AG25" i="15" s="1"/>
  <c r="AC35" i="15"/>
  <c r="AC25" i="15" s="1"/>
  <c r="Y35" i="15"/>
  <c r="U35" i="15"/>
  <c r="U25" i="15" s="1"/>
  <c r="AM35" i="15"/>
  <c r="AL35" i="15"/>
  <c r="AJ35" i="15"/>
  <c r="AI35" i="15"/>
  <c r="AH35" i="15"/>
  <c r="AF35" i="15"/>
  <c r="AE35" i="15"/>
  <c r="AD35" i="15"/>
  <c r="AB35" i="15"/>
  <c r="AA35" i="15"/>
  <c r="Z35" i="15"/>
  <c r="X35" i="15"/>
  <c r="X25" i="15" s="1"/>
  <c r="X24" i="15" s="1"/>
  <c r="W35" i="15"/>
  <c r="V35" i="15"/>
  <c r="T35" i="15"/>
  <c r="S35" i="15"/>
  <c r="R35" i="15"/>
  <c r="AM33" i="15"/>
  <c r="AM28" i="15" s="1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K33" i="15" s="1"/>
  <c r="Q33" i="15"/>
  <c r="AL28" i="15"/>
  <c r="AH28" i="15"/>
  <c r="AG28" i="15"/>
  <c r="AD28" i="15"/>
  <c r="AC28" i="15"/>
  <c r="Z28" i="15"/>
  <c r="Y28" i="15"/>
  <c r="V28" i="15"/>
  <c r="U28" i="15"/>
  <c r="AK28" i="15"/>
  <c r="AJ28" i="15"/>
  <c r="AJ25" i="15" s="1"/>
  <c r="AJ19" i="15" s="1"/>
  <c r="AJ17" i="15" s="1"/>
  <c r="AF28" i="15"/>
  <c r="AE28" i="15"/>
  <c r="AB28" i="15"/>
  <c r="AA28" i="15"/>
  <c r="X28" i="15"/>
  <c r="W28" i="15"/>
  <c r="T28" i="15"/>
  <c r="S28" i="15"/>
  <c r="AM26" i="15"/>
  <c r="AM25" i="15" s="1"/>
  <c r="AM19" i="15" s="1"/>
  <c r="AM17" i="15" s="1"/>
  <c r="AM44" i="15" s="1"/>
  <c r="AL26" i="15"/>
  <c r="AK26" i="15"/>
  <c r="AJ26" i="15"/>
  <c r="AI26" i="15"/>
  <c r="AH26" i="15"/>
  <c r="AH25" i="15" s="1"/>
  <c r="AH19" i="15" s="1"/>
  <c r="AG26" i="15"/>
  <c r="AF26" i="15"/>
  <c r="AE26" i="15"/>
  <c r="AD26" i="15"/>
  <c r="AC26" i="15"/>
  <c r="AB26" i="15"/>
  <c r="AA26" i="15"/>
  <c r="Z26" i="15"/>
  <c r="Z25" i="15" s="1"/>
  <c r="Z19" i="15" s="1"/>
  <c r="Y26" i="15"/>
  <c r="X26" i="15"/>
  <c r="W26" i="15"/>
  <c r="W25" i="15" s="1"/>
  <c r="W24" i="15" s="1"/>
  <c r="V26" i="15"/>
  <c r="V25" i="15" s="1"/>
  <c r="U26" i="15"/>
  <c r="T26" i="15"/>
  <c r="S26" i="15"/>
  <c r="R26" i="15"/>
  <c r="Q26" i="15"/>
  <c r="AL25" i="15"/>
  <c r="AK25" i="15"/>
  <c r="AK24" i="15" s="1"/>
  <c r="AF25" i="15"/>
  <c r="AF24" i="15" s="1"/>
  <c r="Y25" i="15"/>
  <c r="T25" i="15"/>
  <c r="T24" i="15" s="1"/>
  <c r="AM24" i="15"/>
  <c r="AJ24" i="15"/>
  <c r="AH24" i="15"/>
  <c r="Z24" i="15"/>
  <c r="V24" i="15"/>
  <c r="AM21" i="15"/>
  <c r="AL21" i="15"/>
  <c r="AK21" i="15"/>
  <c r="AJ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AF19" i="15"/>
  <c r="AF17" i="15" s="1"/>
  <c r="AF44" i="15" s="1"/>
  <c r="V19" i="15"/>
  <c r="T19" i="15"/>
  <c r="AH17" i="15"/>
  <c r="Z17" i="15"/>
  <c r="V17" i="15"/>
  <c r="T17" i="15"/>
  <c r="P39" i="15"/>
  <c r="I39" i="15" s="1"/>
  <c r="O39" i="15"/>
  <c r="H39" i="15" s="1"/>
  <c r="N39" i="15"/>
  <c r="G39" i="15" s="1"/>
  <c r="M39" i="15"/>
  <c r="F39" i="15" s="1"/>
  <c r="L39" i="15"/>
  <c r="E39" i="15" s="1"/>
  <c r="H36" i="15"/>
  <c r="F36" i="15"/>
  <c r="P33" i="15"/>
  <c r="I33" i="15" s="1"/>
  <c r="O33" i="15"/>
  <c r="H33" i="15" s="1"/>
  <c r="N33" i="15"/>
  <c r="G33" i="15" s="1"/>
  <c r="M33" i="15"/>
  <c r="F33" i="15" s="1"/>
  <c r="L33" i="15"/>
  <c r="E33" i="15" s="1"/>
  <c r="I29" i="15"/>
  <c r="H29" i="15"/>
  <c r="F29" i="15"/>
  <c r="E29" i="15"/>
  <c r="N28" i="15"/>
  <c r="M28" i="15"/>
  <c r="F28" i="15" s="1"/>
  <c r="P26" i="15"/>
  <c r="I26" i="15" s="1"/>
  <c r="O26" i="15"/>
  <c r="H26" i="15" s="1"/>
  <c r="N26" i="15"/>
  <c r="G26" i="15" s="1"/>
  <c r="M26" i="15"/>
  <c r="F26" i="15" s="1"/>
  <c r="L26" i="15"/>
  <c r="E26" i="15" s="1"/>
  <c r="P21" i="15"/>
  <c r="O21" i="15"/>
  <c r="H21" i="15" s="1"/>
  <c r="N21" i="15"/>
  <c r="M21" i="15"/>
  <c r="F21" i="15" s="1"/>
  <c r="L21" i="15"/>
  <c r="AH39" i="14"/>
  <c r="AG39" i="14"/>
  <c r="AF39" i="14"/>
  <c r="AF21" i="14" s="1"/>
  <c r="AE39" i="14"/>
  <c r="AD39" i="14"/>
  <c r="AH35" i="14"/>
  <c r="AD35" i="14"/>
  <c r="AG35" i="14"/>
  <c r="AF35" i="14"/>
  <c r="AE35" i="14"/>
  <c r="AH33" i="14"/>
  <c r="AG33" i="14"/>
  <c r="AF33" i="14"/>
  <c r="AE33" i="14"/>
  <c r="AD33" i="14"/>
  <c r="AD28" i="14" s="1"/>
  <c r="AH28" i="14"/>
  <c r="AF28" i="14"/>
  <c r="AE28" i="14"/>
  <c r="AE25" i="14" s="1"/>
  <c r="AG28" i="14"/>
  <c r="AH26" i="14"/>
  <c r="AG26" i="14"/>
  <c r="AF26" i="14"/>
  <c r="AE26" i="14"/>
  <c r="AD26" i="14"/>
  <c r="AH21" i="14"/>
  <c r="AG21" i="14"/>
  <c r="AE21" i="14"/>
  <c r="AD21" i="14"/>
  <c r="AC39" i="14"/>
  <c r="AC21" i="14" s="1"/>
  <c r="AB39" i="14"/>
  <c r="AA39" i="14"/>
  <c r="Z39" i="14"/>
  <c r="Y39" i="14"/>
  <c r="Y21" i="14" s="1"/>
  <c r="AC35" i="14"/>
  <c r="AB35" i="14"/>
  <c r="AA35" i="14"/>
  <c r="Z35" i="14"/>
  <c r="Y35" i="14"/>
  <c r="AC33" i="14"/>
  <c r="AB33" i="14"/>
  <c r="AA33" i="14"/>
  <c r="Z33" i="14"/>
  <c r="Z28" i="14" s="1"/>
  <c r="Y33" i="14"/>
  <c r="AB28" i="14"/>
  <c r="AB25" i="14" s="1"/>
  <c r="AC28" i="14"/>
  <c r="Y28" i="14"/>
  <c r="AC26" i="14"/>
  <c r="AB26" i="14"/>
  <c r="AA26" i="14"/>
  <c r="Z26" i="14"/>
  <c r="Z25" i="14" s="1"/>
  <c r="Y26" i="14"/>
  <c r="AB21" i="14"/>
  <c r="AA21" i="14"/>
  <c r="Z21" i="14"/>
  <c r="X39" i="14"/>
  <c r="W39" i="14"/>
  <c r="V39" i="14"/>
  <c r="V21" i="14" s="1"/>
  <c r="U39" i="14"/>
  <c r="T39" i="14"/>
  <c r="X35" i="14"/>
  <c r="W35" i="14"/>
  <c r="V35" i="14"/>
  <c r="U35" i="14"/>
  <c r="T35" i="14"/>
  <c r="X33" i="14"/>
  <c r="W33" i="14"/>
  <c r="V33" i="14"/>
  <c r="U33" i="14"/>
  <c r="T33" i="14"/>
  <c r="X28" i="14"/>
  <c r="T28" i="14"/>
  <c r="W28" i="14"/>
  <c r="U28" i="14"/>
  <c r="X26" i="14"/>
  <c r="W26" i="14"/>
  <c r="V26" i="14"/>
  <c r="U26" i="14"/>
  <c r="T26" i="14"/>
  <c r="X21" i="14"/>
  <c r="W21" i="14"/>
  <c r="U21" i="14"/>
  <c r="T21" i="14"/>
  <c r="S39" i="14"/>
  <c r="R39" i="14"/>
  <c r="M39" i="14" s="1"/>
  <c r="Q39" i="14"/>
  <c r="P39" i="14"/>
  <c r="K39" i="14" s="1"/>
  <c r="O39" i="14"/>
  <c r="J36" i="14"/>
  <c r="R35" i="14"/>
  <c r="P35" i="14"/>
  <c r="S33" i="14"/>
  <c r="R33" i="14"/>
  <c r="M33" i="14" s="1"/>
  <c r="Q33" i="14"/>
  <c r="P33" i="14"/>
  <c r="K33" i="14" s="1"/>
  <c r="O33" i="14"/>
  <c r="J29" i="14"/>
  <c r="S26" i="14"/>
  <c r="N26" i="14" s="1"/>
  <c r="R26" i="14"/>
  <c r="Q26" i="14"/>
  <c r="P26" i="14"/>
  <c r="O26" i="14"/>
  <c r="J26" i="14" s="1"/>
  <c r="S21" i="14"/>
  <c r="R21" i="14"/>
  <c r="M21" i="14" s="1"/>
  <c r="Q21" i="14"/>
  <c r="O21" i="14"/>
  <c r="I39" i="14"/>
  <c r="I21" i="14" s="1"/>
  <c r="H39" i="14"/>
  <c r="G39" i="14"/>
  <c r="G21" i="14" s="1"/>
  <c r="F39" i="14"/>
  <c r="E39" i="14"/>
  <c r="E21" i="14" s="1"/>
  <c r="I35" i="14"/>
  <c r="H35" i="14"/>
  <c r="G35" i="14"/>
  <c r="F35" i="14"/>
  <c r="E35" i="14"/>
  <c r="I33" i="14"/>
  <c r="I28" i="14" s="1"/>
  <c r="H33" i="14"/>
  <c r="G33" i="14"/>
  <c r="G28" i="14" s="1"/>
  <c r="F33" i="14"/>
  <c r="F28" i="14" s="1"/>
  <c r="E33" i="14"/>
  <c r="E28" i="14" s="1"/>
  <c r="H28" i="14"/>
  <c r="I26" i="14"/>
  <c r="H26" i="14"/>
  <c r="G26" i="14"/>
  <c r="F26" i="14"/>
  <c r="E26" i="14"/>
  <c r="H21" i="14"/>
  <c r="F21" i="14"/>
  <c r="E42" i="17" l="1"/>
  <c r="I22" i="17"/>
  <c r="O30" i="17"/>
  <c r="AF22" i="17"/>
  <c r="AD29" i="17"/>
  <c r="AG36" i="17"/>
  <c r="AV26" i="17"/>
  <c r="Y36" i="17"/>
  <c r="E41" i="17"/>
  <c r="E32" i="17"/>
  <c r="T30" i="17"/>
  <c r="E44" i="17"/>
  <c r="E31" i="17"/>
  <c r="AE23" i="17"/>
  <c r="AE35" i="17"/>
  <c r="E43" i="17"/>
  <c r="E28" i="17"/>
  <c r="AE21" i="17"/>
  <c r="AE27" i="17"/>
  <c r="AI22" i="17"/>
  <c r="AE33" i="17"/>
  <c r="AY30" i="17"/>
  <c r="AB26" i="17"/>
  <c r="AB20" i="17" s="1"/>
  <c r="AB18" i="17" s="1"/>
  <c r="AB45" i="17" s="1"/>
  <c r="AI25" i="16"/>
  <c r="AV25" i="16"/>
  <c r="AV24" i="16" s="1"/>
  <c r="AT25" i="16"/>
  <c r="AY25" i="16"/>
  <c r="AY24" i="16" s="1"/>
  <c r="V25" i="16"/>
  <c r="V19" i="16" s="1"/>
  <c r="V17" i="16" s="1"/>
  <c r="Z25" i="16"/>
  <c r="Z24" i="16" s="1"/>
  <c r="AA25" i="16"/>
  <c r="AA19" i="16" s="1"/>
  <c r="AA17" i="16" s="1"/>
  <c r="AJ35" i="16"/>
  <c r="Q25" i="16"/>
  <c r="U25" i="16"/>
  <c r="AG36" i="16"/>
  <c r="BC18" i="16"/>
  <c r="BG18" i="16"/>
  <c r="BF20" i="16"/>
  <c r="BE22" i="16"/>
  <c r="BD23" i="16"/>
  <c r="BC27" i="16"/>
  <c r="BG27" i="16"/>
  <c r="BF30" i="16"/>
  <c r="BE31" i="16"/>
  <c r="BD32" i="16"/>
  <c r="BC34" i="16"/>
  <c r="BG34" i="16"/>
  <c r="BF37" i="16"/>
  <c r="BE40" i="16"/>
  <c r="BD41" i="16"/>
  <c r="BC42" i="16"/>
  <c r="BG42" i="16"/>
  <c r="BF43" i="16"/>
  <c r="P25" i="16"/>
  <c r="P24" i="16" s="1"/>
  <c r="T25" i="16"/>
  <c r="T24" i="16" s="1"/>
  <c r="X25" i="16"/>
  <c r="X19" i="16" s="1"/>
  <c r="X17" i="16" s="1"/>
  <c r="F36" i="16"/>
  <c r="BD36" i="16" s="1"/>
  <c r="AN25" i="16"/>
  <c r="AN24" i="16" s="1"/>
  <c r="AR25" i="16"/>
  <c r="AR19" i="16" s="1"/>
  <c r="AR17" i="16" s="1"/>
  <c r="BD18" i="16"/>
  <c r="BC20" i="16"/>
  <c r="BG20" i="16"/>
  <c r="BF22" i="16"/>
  <c r="BE23" i="16"/>
  <c r="BD27" i="16"/>
  <c r="BC30" i="16"/>
  <c r="BG30" i="16"/>
  <c r="BF31" i="16"/>
  <c r="BE32" i="16"/>
  <c r="BD34" i="16"/>
  <c r="BC37" i="16"/>
  <c r="BG37" i="16"/>
  <c r="BF40" i="16"/>
  <c r="BE41" i="16"/>
  <c r="BD42" i="16"/>
  <c r="BC43" i="16"/>
  <c r="BG43" i="16"/>
  <c r="BU24" i="15"/>
  <c r="BI25" i="15"/>
  <c r="BI19" i="15" s="1"/>
  <c r="BI17" i="15" s="1"/>
  <c r="BM24" i="15"/>
  <c r="BH19" i="15"/>
  <c r="BH17" i="15" s="1"/>
  <c r="BD25" i="15"/>
  <c r="BD24" i="15" s="1"/>
  <c r="BT25" i="15"/>
  <c r="BT24" i="15" s="1"/>
  <c r="AP35" i="15"/>
  <c r="W19" i="15"/>
  <c r="W17" i="15" s="1"/>
  <c r="O35" i="15"/>
  <c r="H35" i="15" s="1"/>
  <c r="E36" i="15"/>
  <c r="I36" i="15"/>
  <c r="AK19" i="15"/>
  <c r="AK17" i="15" s="1"/>
  <c r="G36" i="15"/>
  <c r="AD25" i="15"/>
  <c r="BQ25" i="15"/>
  <c r="BT19" i="15"/>
  <c r="BT17" i="15" s="1"/>
  <c r="BD19" i="15"/>
  <c r="BD17" i="15" s="1"/>
  <c r="X19" i="15"/>
  <c r="X17" i="15" s="1"/>
  <c r="AB25" i="15"/>
  <c r="AB19" i="15" s="1"/>
  <c r="AB17" i="15" s="1"/>
  <c r="AE25" i="15"/>
  <c r="O35" i="14"/>
  <c r="J35" i="14" s="1"/>
  <c r="T25" i="14"/>
  <c r="L36" i="14"/>
  <c r="Y25" i="14"/>
  <c r="Y24" i="14" s="1"/>
  <c r="AD25" i="14"/>
  <c r="AG25" i="14"/>
  <c r="AG19" i="14" s="1"/>
  <c r="AG17" i="14" s="1"/>
  <c r="AB24" i="15"/>
  <c r="F25" i="14"/>
  <c r="F24" i="14" s="1"/>
  <c r="Z24" i="14"/>
  <c r="Z19" i="14"/>
  <c r="Z17" i="14" s="1"/>
  <c r="AB19" i="14"/>
  <c r="AB17" i="14" s="1"/>
  <c r="AB24" i="14"/>
  <c r="AE24" i="14"/>
  <c r="AE19" i="14"/>
  <c r="AE17" i="14" s="1"/>
  <c r="AD19" i="14"/>
  <c r="AD17" i="14" s="1"/>
  <c r="AD24" i="14"/>
  <c r="Q35" i="14"/>
  <c r="L35" i="14" s="1"/>
  <c r="AC24" i="15"/>
  <c r="AC19" i="15"/>
  <c r="AC17" i="15" s="1"/>
  <c r="AA24" i="16"/>
  <c r="AX19" i="16"/>
  <c r="AX17" i="16" s="1"/>
  <c r="AX24" i="16"/>
  <c r="E25" i="14"/>
  <c r="E24" i="14" s="1"/>
  <c r="J21" i="14"/>
  <c r="N21" i="14"/>
  <c r="K26" i="14"/>
  <c r="O28" i="14"/>
  <c r="J28" i="14" s="1"/>
  <c r="K29" i="14"/>
  <c r="J33" i="14"/>
  <c r="N33" i="14"/>
  <c r="M35" i="14"/>
  <c r="M36" i="14"/>
  <c r="L39" i="14"/>
  <c r="E21" i="15"/>
  <c r="I21" i="15"/>
  <c r="K21" i="15"/>
  <c r="J36" i="15"/>
  <c r="Q35" i="15"/>
  <c r="J35" i="15" s="1"/>
  <c r="BI24" i="15"/>
  <c r="BV19" i="15"/>
  <c r="BV17" i="15" s="1"/>
  <c r="BV24" i="15"/>
  <c r="AW25" i="15"/>
  <c r="AP28" i="15"/>
  <c r="AP33" i="15"/>
  <c r="AQ33" i="15"/>
  <c r="S28" i="14"/>
  <c r="N28" i="14" s="1"/>
  <c r="N29" i="14"/>
  <c r="U24" i="15"/>
  <c r="U19" i="15"/>
  <c r="U17" i="15" s="1"/>
  <c r="AV24" i="15"/>
  <c r="Y24" i="16"/>
  <c r="Y19" i="16"/>
  <c r="Y17" i="16" s="1"/>
  <c r="BG21" i="16"/>
  <c r="AY19" i="16"/>
  <c r="AY17" i="16" s="1"/>
  <c r="P21" i="14"/>
  <c r="K21" i="14" s="1"/>
  <c r="L26" i="14"/>
  <c r="P28" i="14"/>
  <c r="K28" i="14" s="1"/>
  <c r="Q28" i="14"/>
  <c r="L29" i="14"/>
  <c r="S35" i="14"/>
  <c r="N35" i="14" s="1"/>
  <c r="N36" i="14"/>
  <c r="O28" i="15"/>
  <c r="M35" i="15"/>
  <c r="Y24" i="15"/>
  <c r="Y19" i="15"/>
  <c r="Y17" i="15" s="1"/>
  <c r="Y44" i="15" s="1"/>
  <c r="AG24" i="15"/>
  <c r="AG19" i="15"/>
  <c r="AG17" i="15" s="1"/>
  <c r="K26" i="15"/>
  <c r="J29" i="15"/>
  <c r="Q28" i="15"/>
  <c r="AV19" i="15"/>
  <c r="BL19" i="15"/>
  <c r="BL17" i="15" s="1"/>
  <c r="AZ24" i="15"/>
  <c r="AN33" i="15"/>
  <c r="AU28" i="15"/>
  <c r="AR33" i="15"/>
  <c r="AY28" i="15"/>
  <c r="AR28" i="15" s="1"/>
  <c r="AO33" i="15"/>
  <c r="BC28" i="15"/>
  <c r="AT33" i="15"/>
  <c r="BO28" i="15"/>
  <c r="BO25" i="15" s="1"/>
  <c r="R24" i="16"/>
  <c r="R19" i="16"/>
  <c r="R17" i="16" s="1"/>
  <c r="V24" i="16"/>
  <c r="T19" i="16"/>
  <c r="T17" i="16" s="1"/>
  <c r="X24" i="16"/>
  <c r="AL24" i="15"/>
  <c r="AL19" i="15"/>
  <c r="AL17" i="15" s="1"/>
  <c r="BR19" i="15"/>
  <c r="BR17" i="15" s="1"/>
  <c r="BR24" i="15"/>
  <c r="AQ24" i="16"/>
  <c r="AQ19" i="16"/>
  <c r="AQ17" i="16" s="1"/>
  <c r="L21" i="14"/>
  <c r="M26" i="14"/>
  <c r="R28" i="14"/>
  <c r="M29" i="14"/>
  <c r="L33" i="14"/>
  <c r="K35" i="14"/>
  <c r="K36" i="14"/>
  <c r="J39" i="14"/>
  <c r="N39" i="14"/>
  <c r="V28" i="14"/>
  <c r="V25" i="14" s="1"/>
  <c r="V24" i="14" s="1"/>
  <c r="AA28" i="14"/>
  <c r="G21" i="15"/>
  <c r="L28" i="15"/>
  <c r="E28" i="15" s="1"/>
  <c r="P28" i="15"/>
  <c r="I28" i="15" s="1"/>
  <c r="S25" i="15"/>
  <c r="AA25" i="15"/>
  <c r="K29" i="15"/>
  <c r="R28" i="15"/>
  <c r="K28" i="15" s="1"/>
  <c r="AN26" i="15"/>
  <c r="AU25" i="15"/>
  <c r="AR26" i="15"/>
  <c r="AO26" i="15"/>
  <c r="BC25" i="15"/>
  <c r="AS26" i="15"/>
  <c r="BG25" i="15"/>
  <c r="AP26" i="15"/>
  <c r="BK25" i="15"/>
  <c r="AT26" i="15"/>
  <c r="BS19" i="15"/>
  <c r="BS17" i="15" s="1"/>
  <c r="BS24" i="15"/>
  <c r="BA25" i="15"/>
  <c r="AQ29" i="15"/>
  <c r="AX28" i="15"/>
  <c r="AN29" i="15"/>
  <c r="BB28" i="15"/>
  <c r="AR29" i="15"/>
  <c r="BF28" i="15"/>
  <c r="AO29" i="15"/>
  <c r="BJ28" i="15"/>
  <c r="AS29" i="15"/>
  <c r="BN28" i="15"/>
  <c r="AS33" i="15"/>
  <c r="E21" i="16"/>
  <c r="BC21" i="16" s="1"/>
  <c r="I28" i="16"/>
  <c r="H35" i="16"/>
  <c r="AI24" i="16"/>
  <c r="AI19" i="16"/>
  <c r="AT24" i="16"/>
  <c r="AT19" i="16"/>
  <c r="AT17" i="16" s="1"/>
  <c r="J26" i="15"/>
  <c r="J33" i="15"/>
  <c r="AT35" i="15"/>
  <c r="AP36" i="15"/>
  <c r="AO25" i="16"/>
  <c r="AP25" i="16"/>
  <c r="AU24" i="16"/>
  <c r="AU19" i="16"/>
  <c r="AU17" i="16" s="1"/>
  <c r="BB25" i="16"/>
  <c r="BA19" i="16"/>
  <c r="BA17" i="16" s="1"/>
  <c r="BA24" i="16"/>
  <c r="AZ24" i="16"/>
  <c r="AZ19" i="16"/>
  <c r="AZ17" i="16" s="1"/>
  <c r="J39" i="15"/>
  <c r="AQ36" i="15"/>
  <c r="AX35" i="15"/>
  <c r="AQ35" i="15" s="1"/>
  <c r="AN36" i="15"/>
  <c r="BB35" i="15"/>
  <c r="AN35" i="15" s="1"/>
  <c r="AR36" i="15"/>
  <c r="BF35" i="15"/>
  <c r="AR35" i="15" s="1"/>
  <c r="AO36" i="15"/>
  <c r="BJ35" i="15"/>
  <c r="AS36" i="15"/>
  <c r="BN35" i="15"/>
  <c r="H26" i="16"/>
  <c r="M25" i="16"/>
  <c r="E28" i="16"/>
  <c r="F29" i="16"/>
  <c r="K28" i="16"/>
  <c r="O25" i="16"/>
  <c r="S25" i="16"/>
  <c r="W25" i="16"/>
  <c r="E36" i="16"/>
  <c r="J35" i="16"/>
  <c r="E35" i="16" s="1"/>
  <c r="I36" i="16"/>
  <c r="N35" i="16"/>
  <c r="I35" i="16" s="1"/>
  <c r="F39" i="16"/>
  <c r="BD39" i="16" s="1"/>
  <c r="K21" i="16"/>
  <c r="F21" i="16" s="1"/>
  <c r="AC24" i="16"/>
  <c r="AC19" i="16"/>
  <c r="AC17" i="16" s="1"/>
  <c r="AR24" i="16"/>
  <c r="AD28" i="16"/>
  <c r="AH28" i="16"/>
  <c r="BE33" i="16"/>
  <c r="AE35" i="16"/>
  <c r="AK35" i="16"/>
  <c r="AF36" i="16"/>
  <c r="AS25" i="16"/>
  <c r="AS19" i="16" s="1"/>
  <c r="AS17" i="16" s="1"/>
  <c r="AW25" i="16"/>
  <c r="AW24" i="16" s="1"/>
  <c r="S25" i="17"/>
  <c r="S20" i="17"/>
  <c r="S18" i="17" s="1"/>
  <c r="S45" i="17" s="1"/>
  <c r="U25" i="17"/>
  <c r="U20" i="17"/>
  <c r="U18" i="17" s="1"/>
  <c r="U45" i="17" s="1"/>
  <c r="E26" i="16"/>
  <c r="I26" i="16"/>
  <c r="AJ21" i="16"/>
  <c r="AE21" i="16" s="1"/>
  <c r="BD21" i="16" s="1"/>
  <c r="AJ25" i="16"/>
  <c r="AE28" i="16"/>
  <c r="BF33" i="16"/>
  <c r="AG35" i="16"/>
  <c r="BE39" i="16"/>
  <c r="AV19" i="16"/>
  <c r="AV17" i="16" s="1"/>
  <c r="G21" i="16"/>
  <c r="J25" i="16"/>
  <c r="N25" i="16"/>
  <c r="F26" i="16"/>
  <c r="BD26" i="16" s="1"/>
  <c r="L28" i="16"/>
  <c r="H29" i="16"/>
  <c r="BF29" i="16" s="1"/>
  <c r="E33" i="16"/>
  <c r="I33" i="16"/>
  <c r="K35" i="16"/>
  <c r="F35" i="16" s="1"/>
  <c r="G36" i="16"/>
  <c r="H39" i="16"/>
  <c r="AB25" i="16"/>
  <c r="AB24" i="16" s="1"/>
  <c r="AF21" i="16"/>
  <c r="BE21" i="16" s="1"/>
  <c r="AG26" i="16"/>
  <c r="AK28" i="16"/>
  <c r="AF28" i="16" s="1"/>
  <c r="AE29" i="16"/>
  <c r="BD29" i="16" s="1"/>
  <c r="AD33" i="16"/>
  <c r="BC33" i="16" s="1"/>
  <c r="AH33" i="16"/>
  <c r="AM35" i="16"/>
  <c r="AH36" i="16"/>
  <c r="AG39" i="16"/>
  <c r="BF39" i="16" s="1"/>
  <c r="AO35" i="15"/>
  <c r="AS35" i="15"/>
  <c r="H21" i="16"/>
  <c r="G26" i="16"/>
  <c r="BE26" i="16" s="1"/>
  <c r="H28" i="16"/>
  <c r="E29" i="16"/>
  <c r="BC29" i="16" s="1"/>
  <c r="I29" i="16"/>
  <c r="BG29" i="16" s="1"/>
  <c r="F33" i="16"/>
  <c r="BD33" i="16" s="1"/>
  <c r="G35" i="16"/>
  <c r="H36" i="16"/>
  <c r="BF36" i="16" s="1"/>
  <c r="E39" i="16"/>
  <c r="BC39" i="16" s="1"/>
  <c r="I39" i="16"/>
  <c r="BG39" i="16" s="1"/>
  <c r="AG21" i="16"/>
  <c r="BC26" i="16"/>
  <c r="BG26" i="16"/>
  <c r="AL28" i="16"/>
  <c r="BE29" i="16"/>
  <c r="AD35" i="16"/>
  <c r="AO36" i="17"/>
  <c r="AY36" i="17"/>
  <c r="L29" i="17"/>
  <c r="E19" i="17"/>
  <c r="O22" i="17"/>
  <c r="AA29" i="17"/>
  <c r="AA26" i="17" s="1"/>
  <c r="AT22" i="17"/>
  <c r="AY22" i="17"/>
  <c r="BB26" i="17"/>
  <c r="BB25" i="17" s="1"/>
  <c r="AT34" i="17"/>
  <c r="AY34" i="17"/>
  <c r="V29" i="17"/>
  <c r="V26" i="17" s="1"/>
  <c r="V25" i="17" s="1"/>
  <c r="T36" i="17"/>
  <c r="Y27" i="17"/>
  <c r="AE41" i="17"/>
  <c r="AE42" i="17"/>
  <c r="AE44" i="17"/>
  <c r="Y34" i="17"/>
  <c r="AM29" i="17"/>
  <c r="AH29" i="17" s="1"/>
  <c r="AG30" i="17"/>
  <c r="W20" i="17"/>
  <c r="W18" i="17" s="1"/>
  <c r="W45" i="17" s="1"/>
  <c r="W25" i="17"/>
  <c r="J37" i="17"/>
  <c r="E37" i="17" s="1"/>
  <c r="J27" i="17"/>
  <c r="E27" i="17" s="1"/>
  <c r="H30" i="17"/>
  <c r="G37" i="17"/>
  <c r="K29" i="17"/>
  <c r="K36" i="17"/>
  <c r="M22" i="17"/>
  <c r="H22" i="17" s="1"/>
  <c r="M26" i="17"/>
  <c r="N36" i="17"/>
  <c r="J34" i="17"/>
  <c r="J22" i="17"/>
  <c r="E22" i="17" s="1"/>
  <c r="P29" i="17"/>
  <c r="P26" i="17" s="1"/>
  <c r="R29" i="17"/>
  <c r="H29" i="17" s="1"/>
  <c r="O34" i="17"/>
  <c r="Q36" i="17"/>
  <c r="G36" i="17" s="1"/>
  <c r="H37" i="17"/>
  <c r="E38" i="17"/>
  <c r="G30" i="17"/>
  <c r="T34" i="17"/>
  <c r="X26" i="17"/>
  <c r="X25" i="17" s="1"/>
  <c r="Z29" i="17"/>
  <c r="Z26" i="17" s="1"/>
  <c r="AC26" i="17"/>
  <c r="AC25" i="17" s="1"/>
  <c r="AO22" i="17"/>
  <c r="AE37" i="17"/>
  <c r="AE38" i="17"/>
  <c r="AE43" i="17"/>
  <c r="AO34" i="17"/>
  <c r="AE28" i="17"/>
  <c r="AR26" i="17"/>
  <c r="AR20" i="17" s="1"/>
  <c r="AR18" i="17" s="1"/>
  <c r="AR45" i="17" s="1"/>
  <c r="AT29" i="17"/>
  <c r="AE30" i="17"/>
  <c r="AE32" i="17"/>
  <c r="AK29" i="17"/>
  <c r="AF30" i="17"/>
  <c r="R36" i="17"/>
  <c r="H36" i="17" s="1"/>
  <c r="G29" i="17"/>
  <c r="J30" i="17"/>
  <c r="F30" i="17"/>
  <c r="D26" i="17"/>
  <c r="D25" i="17" s="1"/>
  <c r="AD26" i="17"/>
  <c r="AW20" i="17"/>
  <c r="AW18" i="17" s="1"/>
  <c r="AW45" i="17" s="1"/>
  <c r="AW25" i="17"/>
  <c r="BA20" i="17"/>
  <c r="BA18" i="17" s="1"/>
  <c r="BA45" i="17" s="1"/>
  <c r="BA25" i="17"/>
  <c r="BC20" i="17"/>
  <c r="BC18" i="17" s="1"/>
  <c r="BC45" i="17" s="1"/>
  <c r="BC25" i="17"/>
  <c r="AV25" i="17"/>
  <c r="AV20" i="17"/>
  <c r="AV18" i="17" s="1"/>
  <c r="AV45" i="17" s="1"/>
  <c r="AX25" i="17"/>
  <c r="AX20" i="17"/>
  <c r="AX18" i="17" s="1"/>
  <c r="AX45" i="17" s="1"/>
  <c r="AQ20" i="17"/>
  <c r="AQ18" i="17" s="1"/>
  <c r="AQ45" i="17" s="1"/>
  <c r="AQ25" i="17"/>
  <c r="AS20" i="17"/>
  <c r="AS18" i="17" s="1"/>
  <c r="AS45" i="17" s="1"/>
  <c r="AS25" i="17"/>
  <c r="AF27" i="17"/>
  <c r="AL29" i="17"/>
  <c r="AN29" i="17"/>
  <c r="AP29" i="17"/>
  <c r="AZ29" i="17"/>
  <c r="AK36" i="17"/>
  <c r="AK26" i="17" s="1"/>
  <c r="AM36" i="17"/>
  <c r="AH36" i="17" s="1"/>
  <c r="AU36" i="17"/>
  <c r="AT36" i="17" s="1"/>
  <c r="AF37" i="17"/>
  <c r="AB25" i="17"/>
  <c r="J21" i="15"/>
  <c r="L35" i="15"/>
  <c r="N35" i="15"/>
  <c r="P35" i="15"/>
  <c r="K36" i="15"/>
  <c r="G29" i="15"/>
  <c r="K35" i="15"/>
  <c r="AI28" i="15"/>
  <c r="T24" i="14"/>
  <c r="T19" i="14"/>
  <c r="T17" i="14" s="1"/>
  <c r="U25" i="14"/>
  <c r="H25" i="14"/>
  <c r="H24" i="14" s="1"/>
  <c r="W25" i="14"/>
  <c r="W19" i="14" s="1"/>
  <c r="W17" i="14" s="1"/>
  <c r="AC25" i="14"/>
  <c r="AC24" i="14" s="1"/>
  <c r="AA25" i="14"/>
  <c r="X25" i="14"/>
  <c r="AH25" i="14"/>
  <c r="AF25" i="14"/>
  <c r="I25" i="14"/>
  <c r="I24" i="14" s="1"/>
  <c r="G25" i="14"/>
  <c r="G24" i="14" s="1"/>
  <c r="F19" i="14"/>
  <c r="F17" i="14" s="1"/>
  <c r="BX45" i="11"/>
  <c r="BW29" i="11"/>
  <c r="BW27" i="11"/>
  <c r="BW22" i="11"/>
  <c r="BU40" i="11"/>
  <c r="BT40" i="11"/>
  <c r="BQ40" i="11"/>
  <c r="BN40" i="11"/>
  <c r="BN22" i="11" s="1"/>
  <c r="BK40" i="11"/>
  <c r="BH40" i="11"/>
  <c r="BE40" i="11"/>
  <c r="BB40" i="11"/>
  <c r="BB22" i="11" s="1"/>
  <c r="AY40" i="11"/>
  <c r="AV40" i="11"/>
  <c r="AT38" i="11"/>
  <c r="AS38" i="11"/>
  <c r="AR38" i="11"/>
  <c r="AQ38" i="11"/>
  <c r="AP38" i="11"/>
  <c r="AO38" i="11"/>
  <c r="BY38" i="11" s="1"/>
  <c r="AN38" i="11"/>
  <c r="BT36" i="11"/>
  <c r="BP36" i="11"/>
  <c r="BP26" i="11" s="1"/>
  <c r="BP20" i="11" s="1"/>
  <c r="BL36" i="11"/>
  <c r="BK36" i="11"/>
  <c r="BI36" i="11"/>
  <c r="AQ37" i="11"/>
  <c r="AP37" i="11"/>
  <c r="AS37" i="11"/>
  <c r="AO37" i="11"/>
  <c r="AU36" i="11"/>
  <c r="BV36" i="11"/>
  <c r="BU36" i="11"/>
  <c r="BS36" i="11"/>
  <c r="BR36" i="11"/>
  <c r="BQ36" i="11"/>
  <c r="BN36" i="11"/>
  <c r="BM36" i="11"/>
  <c r="BJ36" i="11"/>
  <c r="BH36" i="11"/>
  <c r="BG36" i="11"/>
  <c r="BF36" i="11"/>
  <c r="BE36" i="11"/>
  <c r="BD36" i="11"/>
  <c r="BC36" i="11"/>
  <c r="BB36" i="11"/>
  <c r="BA36" i="11"/>
  <c r="AZ36" i="11"/>
  <c r="AS36" i="11" s="1"/>
  <c r="AY36" i="11"/>
  <c r="AX36" i="11"/>
  <c r="AW36" i="11"/>
  <c r="AV36" i="11"/>
  <c r="AO36" i="11" s="1"/>
  <c r="AT35" i="11"/>
  <c r="AS35" i="11"/>
  <c r="AR35" i="11"/>
  <c r="AQ35" i="11"/>
  <c r="AP35" i="11"/>
  <c r="AO35" i="11"/>
  <c r="BY35" i="11" s="1"/>
  <c r="AN35" i="11"/>
  <c r="BV34" i="11"/>
  <c r="BU34" i="11"/>
  <c r="BU29" i="11" s="1"/>
  <c r="BT34" i="11"/>
  <c r="BS34" i="11"/>
  <c r="BR34" i="11"/>
  <c r="BQ34" i="11"/>
  <c r="BQ29" i="11" s="1"/>
  <c r="BP34" i="11"/>
  <c r="BO34" i="11"/>
  <c r="BN34" i="11"/>
  <c r="BM34" i="11"/>
  <c r="BM29" i="11" s="1"/>
  <c r="BM26" i="11" s="1"/>
  <c r="BM20" i="11" s="1"/>
  <c r="BL34" i="11"/>
  <c r="BK34" i="11"/>
  <c r="BJ34" i="11"/>
  <c r="BI34" i="11"/>
  <c r="BI29" i="11" s="1"/>
  <c r="BH34" i="11"/>
  <c r="BG34" i="11"/>
  <c r="BF34" i="11"/>
  <c r="BE34" i="11"/>
  <c r="BE29" i="11" s="1"/>
  <c r="BE26" i="11" s="1"/>
  <c r="BD34" i="11"/>
  <c r="BC34" i="11"/>
  <c r="BB34" i="11"/>
  <c r="BA34" i="11"/>
  <c r="AT34" i="11" s="1"/>
  <c r="AZ34" i="11"/>
  <c r="AY34" i="11"/>
  <c r="AX34" i="11"/>
  <c r="AW34" i="11"/>
  <c r="AP34" i="11" s="1"/>
  <c r="AV34" i="11"/>
  <c r="AU34" i="11"/>
  <c r="AR34" i="11"/>
  <c r="AT33" i="11"/>
  <c r="AS33" i="11"/>
  <c r="AR33" i="11"/>
  <c r="AQ33" i="11"/>
  <c r="AP33" i="11"/>
  <c r="AO33" i="11"/>
  <c r="BY33" i="11" s="1"/>
  <c r="AN33" i="11"/>
  <c r="AT32" i="11"/>
  <c r="AS32" i="11"/>
  <c r="AR32" i="11"/>
  <c r="AQ32" i="11"/>
  <c r="AP32" i="11"/>
  <c r="AO32" i="11"/>
  <c r="BY32" i="11" s="1"/>
  <c r="AN32" i="11"/>
  <c r="AT31" i="11"/>
  <c r="AS31" i="11"/>
  <c r="AR31" i="11"/>
  <c r="AQ31" i="11"/>
  <c r="AP31" i="11"/>
  <c r="AO31" i="11"/>
  <c r="BY31" i="11" s="1"/>
  <c r="AN31" i="11"/>
  <c r="AP30" i="11"/>
  <c r="AR30" i="11"/>
  <c r="BB29" i="11"/>
  <c r="AQ30" i="11"/>
  <c r="AT30" i="11"/>
  <c r="BV29" i="11"/>
  <c r="BT29" i="11"/>
  <c r="BS29" i="11"/>
  <c r="BR29" i="11"/>
  <c r="BP29" i="11"/>
  <c r="BO29" i="11"/>
  <c r="BN29" i="11"/>
  <c r="AS29" i="11" s="1"/>
  <c r="BL29" i="11"/>
  <c r="BK29" i="11"/>
  <c r="BJ29" i="11"/>
  <c r="BJ26" i="11" s="1"/>
  <c r="BJ20" i="11" s="1"/>
  <c r="BH29" i="11"/>
  <c r="BG29" i="11"/>
  <c r="BF29" i="11"/>
  <c r="BF26" i="11" s="1"/>
  <c r="BF20" i="11" s="1"/>
  <c r="BD29" i="11"/>
  <c r="BD26" i="11" s="1"/>
  <c r="BD20" i="11" s="1"/>
  <c r="BC29" i="11"/>
  <c r="BA29" i="11"/>
  <c r="AZ29" i="11"/>
  <c r="AY29" i="11"/>
  <c r="AW29" i="11"/>
  <c r="AV29" i="11"/>
  <c r="AU29" i="11"/>
  <c r="AT28" i="11"/>
  <c r="AS28" i="11"/>
  <c r="AR28" i="11"/>
  <c r="AQ28" i="11"/>
  <c r="AP28" i="11"/>
  <c r="AO28" i="11"/>
  <c r="BY28" i="11" s="1"/>
  <c r="AN28" i="11"/>
  <c r="BV27" i="11"/>
  <c r="BU27" i="11"/>
  <c r="BT27" i="11"/>
  <c r="BS27" i="11"/>
  <c r="BR27" i="11"/>
  <c r="BQ27" i="11"/>
  <c r="BP27" i="11"/>
  <c r="BO27" i="11"/>
  <c r="AT27" i="11" s="1"/>
  <c r="BN27" i="11"/>
  <c r="BM27" i="11"/>
  <c r="BL27" i="11"/>
  <c r="BK27" i="11"/>
  <c r="AP27" i="11" s="1"/>
  <c r="BJ27" i="11"/>
  <c r="BI27" i="11"/>
  <c r="BH27" i="11"/>
  <c r="BG27" i="11"/>
  <c r="BG26" i="11" s="1"/>
  <c r="BG20" i="11" s="1"/>
  <c r="BF27" i="11"/>
  <c r="BE27" i="11"/>
  <c r="BD27" i="11"/>
  <c r="BC27" i="11"/>
  <c r="BB27" i="11"/>
  <c r="BA27" i="11"/>
  <c r="AZ27" i="11"/>
  <c r="AS27" i="11" s="1"/>
  <c r="AY27" i="11"/>
  <c r="AR27" i="11" s="1"/>
  <c r="AX27" i="11"/>
  <c r="AW27" i="11"/>
  <c r="AV27" i="11"/>
  <c r="AO27" i="11" s="1"/>
  <c r="AU27" i="11"/>
  <c r="AN27" i="11" s="1"/>
  <c r="AQ27" i="11"/>
  <c r="BV26" i="11"/>
  <c r="BV20" i="11" s="1"/>
  <c r="BR26" i="11"/>
  <c r="BR20" i="11" s="1"/>
  <c r="AY26" i="11"/>
  <c r="AY20" i="11" s="1"/>
  <c r="AT24" i="11"/>
  <c r="AS24" i="11"/>
  <c r="AR24" i="11"/>
  <c r="AQ24" i="11"/>
  <c r="AP24" i="11"/>
  <c r="AO24" i="11"/>
  <c r="BY24" i="11" s="1"/>
  <c r="AN24" i="11"/>
  <c r="AT23" i="11"/>
  <c r="AS23" i="11"/>
  <c r="AR23" i="11"/>
  <c r="AQ23" i="11"/>
  <c r="AP23" i="11"/>
  <c r="AO23" i="11"/>
  <c r="BY23" i="11" s="1"/>
  <c r="AN23" i="11"/>
  <c r="BU22" i="11"/>
  <c r="BT22" i="11"/>
  <c r="BQ22" i="11"/>
  <c r="BK22" i="11"/>
  <c r="BH22" i="11"/>
  <c r="BE22" i="11"/>
  <c r="AY22" i="11"/>
  <c r="AV22" i="11"/>
  <c r="AT21" i="11"/>
  <c r="AS21" i="11"/>
  <c r="AR21" i="11"/>
  <c r="AQ21" i="11"/>
  <c r="AP21" i="11"/>
  <c r="AO21" i="11"/>
  <c r="BY21" i="11" s="1"/>
  <c r="AN21" i="11"/>
  <c r="AT19" i="11"/>
  <c r="AS19" i="11"/>
  <c r="AR19" i="11"/>
  <c r="AQ19" i="11"/>
  <c r="AP19" i="11"/>
  <c r="AO19" i="11"/>
  <c r="BY19" i="11" s="1"/>
  <c r="AN19" i="11"/>
  <c r="AM36" i="11"/>
  <c r="J37" i="11"/>
  <c r="AK36" i="11"/>
  <c r="AI36" i="11"/>
  <c r="AJ36" i="11"/>
  <c r="AG36" i="11"/>
  <c r="AM34" i="11"/>
  <c r="AM29" i="11" s="1"/>
  <c r="AL34" i="11"/>
  <c r="AK34" i="11"/>
  <c r="AK29" i="11" s="1"/>
  <c r="AJ34" i="11"/>
  <c r="AI34" i="11"/>
  <c r="AI29" i="11" s="1"/>
  <c r="AI26" i="11" s="1"/>
  <c r="AI20" i="11" s="1"/>
  <c r="AG34" i="11"/>
  <c r="AL29" i="11"/>
  <c r="AH29" i="11"/>
  <c r="AG29" i="11"/>
  <c r="AJ29" i="11"/>
  <c r="AM27" i="11"/>
  <c r="AL27" i="11"/>
  <c r="AK27" i="11"/>
  <c r="AJ27" i="11"/>
  <c r="AI27" i="11"/>
  <c r="AH27" i="11"/>
  <c r="AG27" i="11"/>
  <c r="AF36" i="11"/>
  <c r="AC36" i="11"/>
  <c r="AE36" i="11"/>
  <c r="AD36" i="11"/>
  <c r="AA36" i="11"/>
  <c r="Z36" i="11"/>
  <c r="AF34" i="11"/>
  <c r="AE34" i="11"/>
  <c r="AD34" i="11"/>
  <c r="AC34" i="11"/>
  <c r="AB34" i="11"/>
  <c r="AA34" i="11"/>
  <c r="Z34" i="11"/>
  <c r="E34" i="11" s="1"/>
  <c r="AF29" i="11"/>
  <c r="AC29" i="11"/>
  <c r="AB29" i="11"/>
  <c r="AE29" i="11"/>
  <c r="AA29" i="11"/>
  <c r="AF27" i="11"/>
  <c r="AE27" i="11"/>
  <c r="J27" i="11" s="1"/>
  <c r="AD27" i="11"/>
  <c r="AC27" i="11"/>
  <c r="AB27" i="11"/>
  <c r="AA27" i="11"/>
  <c r="F27" i="11" s="1"/>
  <c r="Z27" i="11"/>
  <c r="AA26" i="11"/>
  <c r="AA20" i="11" s="1"/>
  <c r="Y36" i="11"/>
  <c r="W36" i="11"/>
  <c r="V36" i="11"/>
  <c r="T36" i="11"/>
  <c r="S36" i="11"/>
  <c r="X36" i="11"/>
  <c r="U36" i="11"/>
  <c r="Y34" i="11"/>
  <c r="X34" i="11"/>
  <c r="W34" i="11"/>
  <c r="V34" i="11"/>
  <c r="U34" i="11"/>
  <c r="G34" i="11" s="1"/>
  <c r="T34" i="11"/>
  <c r="S34" i="11"/>
  <c r="J30" i="11"/>
  <c r="W29" i="11"/>
  <c r="W26" i="11" s="1"/>
  <c r="W20" i="11" s="1"/>
  <c r="S29" i="11"/>
  <c r="Y27" i="11"/>
  <c r="X27" i="11"/>
  <c r="W27" i="11"/>
  <c r="V27" i="11"/>
  <c r="U27" i="11"/>
  <c r="T27" i="11"/>
  <c r="S27" i="11"/>
  <c r="L36" i="11"/>
  <c r="L34" i="11"/>
  <c r="E30" i="11"/>
  <c r="L27" i="11"/>
  <c r="R27" i="11"/>
  <c r="R34" i="11"/>
  <c r="K34" i="11" s="1"/>
  <c r="R36" i="11"/>
  <c r="N27" i="11"/>
  <c r="O27" i="11"/>
  <c r="P27" i="11"/>
  <c r="Q27" i="11"/>
  <c r="N34" i="11"/>
  <c r="O34" i="11"/>
  <c r="P34" i="11"/>
  <c r="Q34" i="11"/>
  <c r="N36" i="11"/>
  <c r="O36" i="11"/>
  <c r="P36" i="11"/>
  <c r="Q36" i="11"/>
  <c r="M34" i="11"/>
  <c r="M27" i="11"/>
  <c r="E38" i="11"/>
  <c r="E37" i="11"/>
  <c r="E35" i="11"/>
  <c r="E33" i="11"/>
  <c r="E32" i="11"/>
  <c r="E31" i="11"/>
  <c r="E28" i="11"/>
  <c r="E27" i="11"/>
  <c r="E24" i="11"/>
  <c r="E23" i="11"/>
  <c r="E21" i="11"/>
  <c r="E19" i="11"/>
  <c r="K19" i="11"/>
  <c r="K21" i="11"/>
  <c r="K23" i="11"/>
  <c r="K24" i="11"/>
  <c r="K27" i="11"/>
  <c r="K28" i="11"/>
  <c r="K30" i="11"/>
  <c r="K31" i="11"/>
  <c r="K32" i="11"/>
  <c r="K33" i="11"/>
  <c r="K35" i="11"/>
  <c r="K37" i="11"/>
  <c r="K38" i="11"/>
  <c r="G19" i="11"/>
  <c r="H19" i="11"/>
  <c r="I19" i="11"/>
  <c r="J19" i="11"/>
  <c r="G21" i="11"/>
  <c r="H21" i="11"/>
  <c r="I21" i="11"/>
  <c r="J21" i="11"/>
  <c r="G23" i="11"/>
  <c r="H23" i="11"/>
  <c r="I23" i="11"/>
  <c r="J23" i="11"/>
  <c r="G24" i="11"/>
  <c r="H24" i="11"/>
  <c r="I24" i="11"/>
  <c r="J24" i="11"/>
  <c r="H27" i="11"/>
  <c r="I27" i="11"/>
  <c r="G28" i="11"/>
  <c r="H28" i="11"/>
  <c r="I28" i="11"/>
  <c r="J28" i="11"/>
  <c r="G30" i="11"/>
  <c r="G31" i="11"/>
  <c r="H31" i="11"/>
  <c r="I31" i="11"/>
  <c r="J31" i="11"/>
  <c r="G32" i="11"/>
  <c r="H32" i="11"/>
  <c r="I32" i="11"/>
  <c r="J32" i="11"/>
  <c r="G33" i="11"/>
  <c r="H33" i="11"/>
  <c r="I33" i="11"/>
  <c r="J33" i="11"/>
  <c r="H34" i="11"/>
  <c r="I34" i="11"/>
  <c r="J34" i="11"/>
  <c r="G35" i="11"/>
  <c r="H35" i="11"/>
  <c r="I35" i="11"/>
  <c r="J35" i="11"/>
  <c r="I37" i="11"/>
  <c r="G38" i="11"/>
  <c r="H38" i="11"/>
  <c r="I38" i="11"/>
  <c r="J38" i="11"/>
  <c r="F21" i="11"/>
  <c r="F23" i="11"/>
  <c r="F24" i="11"/>
  <c r="F28" i="11"/>
  <c r="F31" i="11"/>
  <c r="F32" i="11"/>
  <c r="F33" i="11"/>
  <c r="F34" i="11"/>
  <c r="F35" i="11"/>
  <c r="F38" i="11"/>
  <c r="F19" i="11"/>
  <c r="D36" i="11"/>
  <c r="D34" i="11"/>
  <c r="D27" i="11"/>
  <c r="I30" i="13"/>
  <c r="H30" i="13"/>
  <c r="I41" i="13"/>
  <c r="H41" i="13"/>
  <c r="O38" i="13"/>
  <c r="O20" i="13" s="1"/>
  <c r="I39" i="13"/>
  <c r="P38" i="13"/>
  <c r="P20" i="13" s="1"/>
  <c r="L34" i="13"/>
  <c r="Q34" i="13"/>
  <c r="P34" i="13"/>
  <c r="O34" i="13"/>
  <c r="N34" i="13"/>
  <c r="H34" i="13" s="1"/>
  <c r="M34" i="13"/>
  <c r="K34" i="13"/>
  <c r="J34" i="13"/>
  <c r="Q32" i="13"/>
  <c r="P32" i="13"/>
  <c r="O32" i="13"/>
  <c r="N32" i="13"/>
  <c r="H32" i="13" s="1"/>
  <c r="M32" i="13"/>
  <c r="L32" i="13"/>
  <c r="K32" i="13"/>
  <c r="J32" i="13"/>
  <c r="Q27" i="13"/>
  <c r="O27" i="13"/>
  <c r="M27" i="13"/>
  <c r="Q25" i="13"/>
  <c r="P25" i="13"/>
  <c r="O25" i="13"/>
  <c r="N25" i="13"/>
  <c r="M25" i="13"/>
  <c r="L25" i="13"/>
  <c r="K25" i="13"/>
  <c r="J25" i="13"/>
  <c r="G36" i="13"/>
  <c r="G35" i="13" s="1"/>
  <c r="G34" i="13" s="1"/>
  <c r="F36" i="13"/>
  <c r="G30" i="13"/>
  <c r="G28" i="13" s="1"/>
  <c r="F30" i="13"/>
  <c r="G32" i="13"/>
  <c r="G25" i="13"/>
  <c r="F25" i="13"/>
  <c r="E25" i="13"/>
  <c r="E32" i="13"/>
  <c r="E34" i="13"/>
  <c r="D34" i="13"/>
  <c r="D32" i="13"/>
  <c r="F32" i="13" s="1"/>
  <c r="D25" i="13"/>
  <c r="T44" i="10"/>
  <c r="T43" i="10"/>
  <c r="T42" i="10"/>
  <c r="T36" i="10"/>
  <c r="T34" i="10"/>
  <c r="P46" i="10"/>
  <c r="Q46" i="10"/>
  <c r="R46" i="10"/>
  <c r="S46" i="10"/>
  <c r="V46" i="10"/>
  <c r="W46" i="10"/>
  <c r="T25" i="10"/>
  <c r="T29" i="10"/>
  <c r="T32" i="10"/>
  <c r="U32" i="10" s="1"/>
  <c r="T35" i="10"/>
  <c r="U35" i="10" s="1"/>
  <c r="T41" i="10"/>
  <c r="U41" i="10" s="1"/>
  <c r="T45" i="10"/>
  <c r="T20" i="10"/>
  <c r="T22" i="10"/>
  <c r="T23" i="10"/>
  <c r="T24" i="10"/>
  <c r="R26" i="17" l="1"/>
  <c r="R25" i="17" s="1"/>
  <c r="N42" i="10"/>
  <c r="U42" i="10"/>
  <c r="N43" i="10"/>
  <c r="U43" i="10"/>
  <c r="N44" i="10"/>
  <c r="U44" i="10"/>
  <c r="N36" i="10"/>
  <c r="U36" i="10"/>
  <c r="N34" i="10"/>
  <c r="U34" i="10"/>
  <c r="AR25" i="17"/>
  <c r="O36" i="17"/>
  <c r="AE22" i="17"/>
  <c r="J29" i="17"/>
  <c r="AE34" i="17"/>
  <c r="BB20" i="17"/>
  <c r="BB18" i="17" s="1"/>
  <c r="BB45" i="17" s="1"/>
  <c r="X20" i="17"/>
  <c r="O29" i="17"/>
  <c r="AW19" i="16"/>
  <c r="AW17" i="16" s="1"/>
  <c r="AN19" i="16"/>
  <c r="AN17" i="16" s="1"/>
  <c r="AD25" i="16"/>
  <c r="Z19" i="16"/>
  <c r="Z17" i="16" s="1"/>
  <c r="P19" i="16"/>
  <c r="P17" i="16" s="1"/>
  <c r="BC35" i="16"/>
  <c r="Q24" i="16"/>
  <c r="Q19" i="16"/>
  <c r="Q17" i="16" s="1"/>
  <c r="AS24" i="16"/>
  <c r="AD24" i="16" s="1"/>
  <c r="BC28" i="16"/>
  <c r="BG33" i="16"/>
  <c r="AB19" i="16"/>
  <c r="AB17" i="16" s="1"/>
  <c r="BF35" i="16"/>
  <c r="BG36" i="16"/>
  <c r="U24" i="16"/>
  <c r="U19" i="16"/>
  <c r="U17" i="16" s="1"/>
  <c r="BQ19" i="15"/>
  <c r="BQ17" i="15" s="1"/>
  <c r="BQ24" i="15"/>
  <c r="AD19" i="15"/>
  <c r="AD17" i="15" s="1"/>
  <c r="AD24" i="15"/>
  <c r="AE24" i="15"/>
  <c r="AE19" i="15"/>
  <c r="AE17" i="15" s="1"/>
  <c r="Y19" i="14"/>
  <c r="Y17" i="14" s="1"/>
  <c r="S25" i="14"/>
  <c r="W24" i="14"/>
  <c r="N25" i="14"/>
  <c r="I19" i="14"/>
  <c r="I17" i="14" s="1"/>
  <c r="I44" i="14" s="1"/>
  <c r="AG24" i="14"/>
  <c r="V19" i="14"/>
  <c r="V17" i="14" s="1"/>
  <c r="O25" i="14"/>
  <c r="J25" i="14" s="1"/>
  <c r="H19" i="14"/>
  <c r="H17" i="14" s="1"/>
  <c r="AG26" i="11"/>
  <c r="AG20" i="11" s="1"/>
  <c r="BQ26" i="11"/>
  <c r="F37" i="11"/>
  <c r="AL36" i="11"/>
  <c r="AL26" i="11" s="1"/>
  <c r="AL20" i="11" s="1"/>
  <c r="AC26" i="11"/>
  <c r="AC20" i="11" s="1"/>
  <c r="G37" i="11"/>
  <c r="BH26" i="11"/>
  <c r="BH20" i="11" s="1"/>
  <c r="BH18" i="11" s="1"/>
  <c r="BH45" i="11" s="1"/>
  <c r="BU26" i="11"/>
  <c r="BH25" i="11"/>
  <c r="BC26" i="11"/>
  <c r="BC20" i="11" s="1"/>
  <c r="BS26" i="11"/>
  <c r="BS20" i="11" s="1"/>
  <c r="AT29" i="11"/>
  <c r="BT26" i="11"/>
  <c r="BT20" i="11" s="1"/>
  <c r="BT18" i="11" s="1"/>
  <c r="BT45" i="11" s="1"/>
  <c r="AP29" i="11"/>
  <c r="I30" i="11"/>
  <c r="F30" i="11"/>
  <c r="H39" i="13"/>
  <c r="I40" i="13"/>
  <c r="N27" i="13"/>
  <c r="J27" i="13"/>
  <c r="H28" i="13"/>
  <c r="K27" i="13"/>
  <c r="I27" i="13" s="1"/>
  <c r="I28" i="13"/>
  <c r="F28" i="13"/>
  <c r="F27" i="13" s="1"/>
  <c r="F35" i="13"/>
  <c r="F34" i="13" s="1"/>
  <c r="BE25" i="11"/>
  <c r="BE20" i="11"/>
  <c r="BE18" i="11" s="1"/>
  <c r="BE45" i="11" s="1"/>
  <c r="BQ25" i="11"/>
  <c r="BQ20" i="11"/>
  <c r="BQ18" i="11" s="1"/>
  <c r="BQ45" i="11" s="1"/>
  <c r="AY18" i="11"/>
  <c r="AY45" i="11" s="1"/>
  <c r="BL26" i="11"/>
  <c r="BL20" i="11" s="1"/>
  <c r="AQ36" i="11"/>
  <c r="T25" i="17"/>
  <c r="BO19" i="15"/>
  <c r="BO17" i="15" s="1"/>
  <c r="BO24" i="15"/>
  <c r="BU25" i="11"/>
  <c r="BU20" i="11"/>
  <c r="BU18" i="11" s="1"/>
  <c r="BU45" i="11" s="1"/>
  <c r="AA20" i="17"/>
  <c r="AA18" i="17" s="1"/>
  <c r="AA45" i="17" s="1"/>
  <c r="AA25" i="17"/>
  <c r="I36" i="11"/>
  <c r="F28" i="16"/>
  <c r="BD28" i="16" s="1"/>
  <c r="K25" i="16"/>
  <c r="AA19" i="15"/>
  <c r="AA17" i="15" s="1"/>
  <c r="AA24" i="15"/>
  <c r="Q38" i="13"/>
  <c r="Q20" i="13" s="1"/>
  <c r="H37" i="11"/>
  <c r="H30" i="11"/>
  <c r="H36" i="11"/>
  <c r="U29" i="11"/>
  <c r="U26" i="11" s="1"/>
  <c r="U20" i="11" s="1"/>
  <c r="Y29" i="11"/>
  <c r="AF26" i="11"/>
  <c r="AF20" i="11" s="1"/>
  <c r="Z29" i="11"/>
  <c r="AD29" i="11"/>
  <c r="AB36" i="11"/>
  <c r="AB26" i="11" s="1"/>
  <c r="AB20" i="11" s="1"/>
  <c r="AV26" i="11"/>
  <c r="AZ26" i="11"/>
  <c r="BN26" i="11"/>
  <c r="AX29" i="11"/>
  <c r="AN30" i="11"/>
  <c r="AQ34" i="11"/>
  <c r="AP36" i="11"/>
  <c r="AN37" i="11"/>
  <c r="AR37" i="11"/>
  <c r="Q25" i="14"/>
  <c r="L25" i="14" s="1"/>
  <c r="T26" i="17"/>
  <c r="AC20" i="17"/>
  <c r="AC18" i="17" s="1"/>
  <c r="AC45" i="17" s="1"/>
  <c r="V20" i="17"/>
  <c r="V18" i="17" s="1"/>
  <c r="V45" i="17" s="1"/>
  <c r="AM25" i="16"/>
  <c r="AH35" i="16"/>
  <c r="BG35" i="16" s="1"/>
  <c r="BE36" i="16"/>
  <c r="W19" i="16"/>
  <c r="W17" i="16" s="1"/>
  <c r="W24" i="16"/>
  <c r="BJ25" i="15"/>
  <c r="BB25" i="15"/>
  <c r="AN25" i="15" s="1"/>
  <c r="AT28" i="15"/>
  <c r="BG19" i="15"/>
  <c r="BG24" i="15"/>
  <c r="AY25" i="15"/>
  <c r="S24" i="15"/>
  <c r="S19" i="15"/>
  <c r="S17" i="15" s="1"/>
  <c r="M28" i="14"/>
  <c r="R25" i="14"/>
  <c r="H28" i="15"/>
  <c r="O25" i="15"/>
  <c r="L28" i="14"/>
  <c r="P25" i="14"/>
  <c r="G28" i="16"/>
  <c r="BE28" i="16" s="1"/>
  <c r="L25" i="16"/>
  <c r="AO19" i="16"/>
  <c r="AO17" i="16" s="1"/>
  <c r="AO24" i="16"/>
  <c r="F35" i="15"/>
  <c r="M25" i="15"/>
  <c r="O24" i="14"/>
  <c r="J24" i="14" s="1"/>
  <c r="AW19" i="15"/>
  <c r="AW24" i="15"/>
  <c r="AP25" i="15"/>
  <c r="H40" i="13"/>
  <c r="D29" i="11"/>
  <c r="G27" i="11"/>
  <c r="G36" i="11"/>
  <c r="AE26" i="11"/>
  <c r="AE20" i="11" s="1"/>
  <c r="AY25" i="11"/>
  <c r="AW26" i="11"/>
  <c r="BA26" i="11"/>
  <c r="BA20" i="11" s="1"/>
  <c r="BK26" i="11"/>
  <c r="AR29" i="11"/>
  <c r="AO30" i="11"/>
  <c r="AS30" i="11"/>
  <c r="AN34" i="11"/>
  <c r="E19" i="14"/>
  <c r="E17" i="14" s="1"/>
  <c r="AC19" i="14"/>
  <c r="AC17" i="14" s="1"/>
  <c r="F29" i="17"/>
  <c r="Y29" i="17"/>
  <c r="L26" i="17"/>
  <c r="BF21" i="16"/>
  <c r="I25" i="16"/>
  <c r="N24" i="16"/>
  <c r="N19" i="16"/>
  <c r="AE25" i="16"/>
  <c r="AJ24" i="16"/>
  <c r="AJ19" i="16"/>
  <c r="AK25" i="16"/>
  <c r="AF35" i="16"/>
  <c r="BE35" i="16" s="1"/>
  <c r="BG28" i="16"/>
  <c r="S19" i="16"/>
  <c r="S17" i="16" s="1"/>
  <c r="S24" i="16"/>
  <c r="BA19" i="15"/>
  <c r="BA24" i="15"/>
  <c r="AT24" i="15" s="1"/>
  <c r="AT25" i="15"/>
  <c r="AO28" i="15"/>
  <c r="AN28" i="15"/>
  <c r="R25" i="15"/>
  <c r="BB19" i="16"/>
  <c r="BB17" i="16" s="1"/>
  <c r="BB24" i="16"/>
  <c r="J28" i="15"/>
  <c r="Q25" i="15"/>
  <c r="L27" i="13"/>
  <c r="L24" i="13" s="1"/>
  <c r="L18" i="13" s="1"/>
  <c r="P27" i="13"/>
  <c r="P24" i="13" s="1"/>
  <c r="BY27" i="11"/>
  <c r="J36" i="11"/>
  <c r="Z26" i="11"/>
  <c r="Z20" i="11" s="1"/>
  <c r="AD26" i="11"/>
  <c r="AD20" i="11" s="1"/>
  <c r="AO29" i="11"/>
  <c r="AO34" i="11"/>
  <c r="BY34" i="11" s="1"/>
  <c r="AS34" i="11"/>
  <c r="AR36" i="11"/>
  <c r="T29" i="17"/>
  <c r="K26" i="17"/>
  <c r="F26" i="17" s="1"/>
  <c r="AG28" i="16"/>
  <c r="BF28" i="16" s="1"/>
  <c r="AL25" i="16"/>
  <c r="BF26" i="16"/>
  <c r="E25" i="16"/>
  <c r="BC25" i="16" s="1"/>
  <c r="J24" i="16"/>
  <c r="J19" i="16"/>
  <c r="BD35" i="16"/>
  <c r="O19" i="16"/>
  <c r="O17" i="16" s="1"/>
  <c r="O24" i="16"/>
  <c r="H25" i="16"/>
  <c r="M24" i="16"/>
  <c r="M19" i="16"/>
  <c r="AP19" i="16"/>
  <c r="AP17" i="16" s="1"/>
  <c r="AP24" i="16"/>
  <c r="AD19" i="16"/>
  <c r="AI17" i="16"/>
  <c r="AD17" i="16" s="1"/>
  <c r="AS28" i="15"/>
  <c r="BN25" i="15"/>
  <c r="AS25" i="15" s="1"/>
  <c r="BF25" i="15"/>
  <c r="AQ28" i="15"/>
  <c r="AX25" i="15"/>
  <c r="BK19" i="15"/>
  <c r="BK17" i="15" s="1"/>
  <c r="BK24" i="15"/>
  <c r="BC19" i="15"/>
  <c r="BC17" i="15" s="1"/>
  <c r="BC24" i="15"/>
  <c r="AU19" i="15"/>
  <c r="AU24" i="15"/>
  <c r="AV17" i="15"/>
  <c r="I36" i="17"/>
  <c r="N26" i="17"/>
  <c r="Q26" i="17"/>
  <c r="O26" i="17" s="1"/>
  <c r="P20" i="17"/>
  <c r="P18" i="17" s="1"/>
  <c r="P45" i="17" s="1"/>
  <c r="P25" i="17"/>
  <c r="M25" i="17"/>
  <c r="M20" i="17"/>
  <c r="M18" i="17" s="1"/>
  <c r="M45" i="17" s="1"/>
  <c r="F36" i="17"/>
  <c r="J36" i="17"/>
  <c r="AJ29" i="17"/>
  <c r="D20" i="17"/>
  <c r="D18" i="17" s="1"/>
  <c r="D45" i="17" s="1"/>
  <c r="E30" i="17"/>
  <c r="E34" i="17"/>
  <c r="AF29" i="17"/>
  <c r="H26" i="17"/>
  <c r="AD25" i="17"/>
  <c r="AD20" i="17"/>
  <c r="AD18" i="17" s="1"/>
  <c r="AD45" i="17" s="1"/>
  <c r="AK20" i="17"/>
  <c r="AK25" i="17"/>
  <c r="AY29" i="17"/>
  <c r="AZ26" i="17"/>
  <c r="AI29" i="17"/>
  <c r="AN26" i="17"/>
  <c r="AU26" i="17"/>
  <c r="AJ36" i="17"/>
  <c r="AE36" i="17" s="1"/>
  <c r="AF36" i="17"/>
  <c r="AO29" i="17"/>
  <c r="AP26" i="17"/>
  <c r="AG29" i="17"/>
  <c r="AL26" i="17"/>
  <c r="AM26" i="17"/>
  <c r="Z20" i="17"/>
  <c r="Y26" i="17"/>
  <c r="Z25" i="17"/>
  <c r="Y25" i="17" s="1"/>
  <c r="X18" i="17"/>
  <c r="X45" i="17" s="1"/>
  <c r="P25" i="15"/>
  <c r="I35" i="15"/>
  <c r="L25" i="15"/>
  <c r="E35" i="15"/>
  <c r="N25" i="15"/>
  <c r="G35" i="15"/>
  <c r="G28" i="15"/>
  <c r="AI25" i="15"/>
  <c r="U19" i="14"/>
  <c r="U24" i="14"/>
  <c r="G19" i="14"/>
  <c r="G17" i="14" s="1"/>
  <c r="G44" i="14" s="1"/>
  <c r="AA24" i="14"/>
  <c r="AA19" i="14"/>
  <c r="AA17" i="14" s="1"/>
  <c r="S24" i="14"/>
  <c r="S19" i="14"/>
  <c r="X24" i="14"/>
  <c r="X19" i="14"/>
  <c r="AH19" i="14"/>
  <c r="AH24" i="14"/>
  <c r="AF24" i="14"/>
  <c r="AF19" i="14"/>
  <c r="E36" i="11"/>
  <c r="S26" i="11"/>
  <c r="S20" i="11" s="1"/>
  <c r="V29" i="11"/>
  <c r="V26" i="11" s="1"/>
  <c r="V20" i="11" s="1"/>
  <c r="X29" i="11"/>
  <c r="X26" i="11" s="1"/>
  <c r="X20" i="11" s="1"/>
  <c r="AJ26" i="11"/>
  <c r="AJ20" i="11" s="1"/>
  <c r="L29" i="11"/>
  <c r="E29" i="11" s="1"/>
  <c r="T29" i="11"/>
  <c r="M29" i="11"/>
  <c r="BY29" i="11" s="1"/>
  <c r="M36" i="11"/>
  <c r="BY36" i="11" s="1"/>
  <c r="L26" i="11"/>
  <c r="L20" i="11" s="1"/>
  <c r="AM26" i="11"/>
  <c r="AM20" i="11" s="1"/>
  <c r="AK26" i="11"/>
  <c r="AK20" i="11" s="1"/>
  <c r="BY30" i="11"/>
  <c r="BW26" i="11"/>
  <c r="BI26" i="11"/>
  <c r="BI20" i="11" s="1"/>
  <c r="AN29" i="11"/>
  <c r="BB26" i="11"/>
  <c r="AN36" i="11"/>
  <c r="AU26" i="11"/>
  <c r="AT37" i="11"/>
  <c r="BO36" i="11"/>
  <c r="AH26" i="11"/>
  <c r="AH20" i="11" s="1"/>
  <c r="K36" i="11"/>
  <c r="Y26" i="11"/>
  <c r="Y20" i="11" s="1"/>
  <c r="T26" i="11"/>
  <c r="T20" i="11" s="1"/>
  <c r="BR40" i="11"/>
  <c r="P29" i="11"/>
  <c r="I29" i="11" s="1"/>
  <c r="N29" i="11"/>
  <c r="G29" i="11" s="1"/>
  <c r="Q29" i="11"/>
  <c r="O29" i="11"/>
  <c r="H29" i="11" s="1"/>
  <c r="R29" i="11"/>
  <c r="K29" i="11" s="1"/>
  <c r="N26" i="11"/>
  <c r="O26" i="11"/>
  <c r="D26" i="11"/>
  <c r="M38" i="13"/>
  <c r="M20" i="13" s="1"/>
  <c r="S43" i="13"/>
  <c r="N38" i="13"/>
  <c r="N20" i="13" s="1"/>
  <c r="J38" i="13"/>
  <c r="D38" i="13"/>
  <c r="D20" i="13" s="1"/>
  <c r="G27" i="13"/>
  <c r="G24" i="13" s="1"/>
  <c r="J24" i="13"/>
  <c r="J18" i="13" s="1"/>
  <c r="N24" i="13"/>
  <c r="N18" i="13" s="1"/>
  <c r="K24" i="13"/>
  <c r="M24" i="13"/>
  <c r="M18" i="13" s="1"/>
  <c r="O24" i="13"/>
  <c r="O18" i="13" s="1"/>
  <c r="O16" i="13" s="1"/>
  <c r="O43" i="13" s="1"/>
  <c r="Q24" i="13"/>
  <c r="Q18" i="13" s="1"/>
  <c r="Q16" i="13" s="1"/>
  <c r="Q43" i="13" s="1"/>
  <c r="E27" i="13"/>
  <c r="E24" i="13" s="1"/>
  <c r="D27" i="13"/>
  <c r="D24" i="13" s="1"/>
  <c r="N41" i="10"/>
  <c r="N35" i="10"/>
  <c r="N32" i="10"/>
  <c r="N29" i="10"/>
  <c r="N25" i="10"/>
  <c r="N45" i="10"/>
  <c r="N23" i="10"/>
  <c r="N22" i="10"/>
  <c r="N20" i="10"/>
  <c r="N24" i="10"/>
  <c r="E36" i="17" l="1"/>
  <c r="R20" i="17"/>
  <c r="H20" i="17" s="1"/>
  <c r="E29" i="17"/>
  <c r="T20" i="17"/>
  <c r="H24" i="16"/>
  <c r="E24" i="16"/>
  <c r="BC24" i="16" s="1"/>
  <c r="AP24" i="15"/>
  <c r="O19" i="14"/>
  <c r="N24" i="14"/>
  <c r="Q24" i="14"/>
  <c r="Q19" i="14"/>
  <c r="Q17" i="14" s="1"/>
  <c r="AR26" i="11"/>
  <c r="E26" i="11"/>
  <c r="BT25" i="11"/>
  <c r="AR20" i="11"/>
  <c r="J29" i="11"/>
  <c r="P26" i="11"/>
  <c r="M16" i="13"/>
  <c r="M43" i="13" s="1"/>
  <c r="N16" i="13"/>
  <c r="N43" i="13" s="1"/>
  <c r="H27" i="13"/>
  <c r="J20" i="13"/>
  <c r="J16" i="13"/>
  <c r="J43" i="13" s="1"/>
  <c r="J23" i="13"/>
  <c r="H24" i="13"/>
  <c r="H18" i="13" s="1"/>
  <c r="K18" i="13"/>
  <c r="I24" i="13"/>
  <c r="I18" i="13" s="1"/>
  <c r="F24" i="13"/>
  <c r="F18" i="13" s="1"/>
  <c r="M23" i="13"/>
  <c r="Q23" i="13"/>
  <c r="N23" i="13"/>
  <c r="O23" i="13"/>
  <c r="P23" i="13"/>
  <c r="P18" i="13"/>
  <c r="P16" i="13" s="1"/>
  <c r="P43" i="13" s="1"/>
  <c r="AX19" i="15"/>
  <c r="AQ25" i="15"/>
  <c r="AX24" i="15"/>
  <c r="AQ24" i="15" s="1"/>
  <c r="AF25" i="16"/>
  <c r="AK19" i="16"/>
  <c r="AK24" i="16"/>
  <c r="AF24" i="16" s="1"/>
  <c r="AX26" i="11"/>
  <c r="AQ29" i="11"/>
  <c r="F25" i="16"/>
  <c r="K19" i="16"/>
  <c r="K24" i="16"/>
  <c r="F24" i="16" s="1"/>
  <c r="M26" i="11"/>
  <c r="M20" i="11" s="1"/>
  <c r="L24" i="14"/>
  <c r="M17" i="16"/>
  <c r="H17" i="16" s="1"/>
  <c r="H19" i="16"/>
  <c r="K25" i="17"/>
  <c r="F25" i="17" s="1"/>
  <c r="K20" i="17"/>
  <c r="K18" i="17" s="1"/>
  <c r="K45" i="17" s="1"/>
  <c r="AE19" i="16"/>
  <c r="AJ17" i="16"/>
  <c r="AE17" i="16" s="1"/>
  <c r="I24" i="16"/>
  <c r="AW20" i="11"/>
  <c r="AP26" i="11"/>
  <c r="AW17" i="15"/>
  <c r="AP17" i="15" s="1"/>
  <c r="AP19" i="15"/>
  <c r="F25" i="15"/>
  <c r="M19" i="15"/>
  <c r="M24" i="15"/>
  <c r="F24" i="15" s="1"/>
  <c r="BG17" i="15"/>
  <c r="AH25" i="16"/>
  <c r="BG25" i="16" s="1"/>
  <c r="AM24" i="16"/>
  <c r="AH24" i="16" s="1"/>
  <c r="AM19" i="16"/>
  <c r="BN25" i="11"/>
  <c r="BN20" i="11"/>
  <c r="BN18" i="11" s="1"/>
  <c r="BN45" i="11" s="1"/>
  <c r="H25" i="15"/>
  <c r="O24" i="15"/>
  <c r="H24" i="15" s="1"/>
  <c r="O19" i="15"/>
  <c r="BJ19" i="15"/>
  <c r="BJ24" i="15"/>
  <c r="AO24" i="15" s="1"/>
  <c r="AO25" i="15"/>
  <c r="F29" i="11"/>
  <c r="F36" i="11"/>
  <c r="AF26" i="17"/>
  <c r="BF19" i="15"/>
  <c r="BF17" i="15" s="1"/>
  <c r="BF24" i="15"/>
  <c r="J25" i="15"/>
  <c r="Q24" i="15"/>
  <c r="J24" i="15" s="1"/>
  <c r="Q19" i="15"/>
  <c r="R24" i="15"/>
  <c r="K24" i="15" s="1"/>
  <c r="R19" i="15"/>
  <c r="K25" i="15"/>
  <c r="AE24" i="16"/>
  <c r="L25" i="17"/>
  <c r="L20" i="17"/>
  <c r="L18" i="17" s="1"/>
  <c r="L45" i="17" s="1"/>
  <c r="L38" i="13"/>
  <c r="H38" i="13" s="1"/>
  <c r="J19" i="14"/>
  <c r="O17" i="14"/>
  <c r="J17" i="14" s="1"/>
  <c r="K25" i="14"/>
  <c r="P19" i="14"/>
  <c r="P24" i="14"/>
  <c r="K24" i="14" s="1"/>
  <c r="AZ20" i="11"/>
  <c r="AS26" i="11"/>
  <c r="I19" i="16"/>
  <c r="N17" i="16"/>
  <c r="I17" i="16" s="1"/>
  <c r="Q26" i="11"/>
  <c r="Q20" i="11" s="1"/>
  <c r="N19" i="14"/>
  <c r="AE29" i="17"/>
  <c r="AU17" i="15"/>
  <c r="BN19" i="15"/>
  <c r="BN17" i="15" s="1"/>
  <c r="BN24" i="15"/>
  <c r="AS24" i="15" s="1"/>
  <c r="E19" i="16"/>
  <c r="BC19" i="16" s="1"/>
  <c r="J17" i="16"/>
  <c r="E17" i="16" s="1"/>
  <c r="BC17" i="16" s="1"/>
  <c r="AG25" i="16"/>
  <c r="BF25" i="16" s="1"/>
  <c r="AL24" i="16"/>
  <c r="AG24" i="16" s="1"/>
  <c r="BF24" i="16" s="1"/>
  <c r="AL19" i="16"/>
  <c r="AT19" i="15"/>
  <c r="BA17" i="15"/>
  <c r="AT17" i="15" s="1"/>
  <c r="BD25" i="16"/>
  <c r="BK20" i="11"/>
  <c r="BK18" i="11" s="1"/>
  <c r="BK45" i="11" s="1"/>
  <c r="BK25" i="11"/>
  <c r="G25" i="16"/>
  <c r="L19" i="16"/>
  <c r="L24" i="16"/>
  <c r="G24" i="16" s="1"/>
  <c r="R24" i="14"/>
  <c r="M24" i="14" s="1"/>
  <c r="M25" i="14"/>
  <c r="R19" i="14"/>
  <c r="AY19" i="15"/>
  <c r="AR25" i="15"/>
  <c r="AY24" i="15"/>
  <c r="BB19" i="15"/>
  <c r="BB17" i="15" s="1"/>
  <c r="BB24" i="15"/>
  <c r="AN24" i="15" s="1"/>
  <c r="AO26" i="11"/>
  <c r="AV20" i="11"/>
  <c r="AV25" i="11"/>
  <c r="F38" i="13"/>
  <c r="Q25" i="17"/>
  <c r="G25" i="17" s="1"/>
  <c r="Q20" i="17"/>
  <c r="G26" i="17"/>
  <c r="I26" i="17"/>
  <c r="N25" i="17"/>
  <c r="N20" i="17"/>
  <c r="J26" i="17"/>
  <c r="E26" i="17" s="1"/>
  <c r="H25" i="17"/>
  <c r="O25" i="17"/>
  <c r="R18" i="17"/>
  <c r="R45" i="17" s="1"/>
  <c r="AM20" i="17"/>
  <c r="AH26" i="17"/>
  <c r="AM25" i="17"/>
  <c r="AH25" i="17" s="1"/>
  <c r="AI26" i="17"/>
  <c r="AN25" i="17"/>
  <c r="AI25" i="17" s="1"/>
  <c r="AN20" i="17"/>
  <c r="AY26" i="17"/>
  <c r="AZ25" i="17"/>
  <c r="AY25" i="17" s="1"/>
  <c r="AZ20" i="17"/>
  <c r="AK18" i="17"/>
  <c r="AK45" i="17" s="1"/>
  <c r="AG26" i="17"/>
  <c r="AL25" i="17"/>
  <c r="AG25" i="17" s="1"/>
  <c r="AL20" i="17"/>
  <c r="AO26" i="17"/>
  <c r="AP25" i="17"/>
  <c r="AO25" i="17" s="1"/>
  <c r="AP20" i="17"/>
  <c r="AU20" i="17"/>
  <c r="AT26" i="17"/>
  <c r="AU25" i="17"/>
  <c r="AT25" i="17" s="1"/>
  <c r="AJ26" i="17"/>
  <c r="Z18" i="17"/>
  <c r="Z45" i="17" s="1"/>
  <c r="Y20" i="17"/>
  <c r="T18" i="17"/>
  <c r="T45" i="17" s="1"/>
  <c r="N24" i="15"/>
  <c r="N19" i="15"/>
  <c r="N17" i="15" s="1"/>
  <c r="E25" i="15"/>
  <c r="L24" i="15"/>
  <c r="E24" i="15" s="1"/>
  <c r="L19" i="15"/>
  <c r="I25" i="15"/>
  <c r="P24" i="15"/>
  <c r="I24" i="15" s="1"/>
  <c r="P19" i="15"/>
  <c r="AI24" i="15"/>
  <c r="G24" i="15" s="1"/>
  <c r="AI19" i="15"/>
  <c r="G25" i="15"/>
  <c r="U17" i="14"/>
  <c r="S17" i="14"/>
  <c r="X17" i="14"/>
  <c r="AH17" i="14"/>
  <c r="AF17" i="14"/>
  <c r="BW25" i="11"/>
  <c r="BW20" i="11"/>
  <c r="BW18" i="11" s="1"/>
  <c r="BW45" i="11" s="1"/>
  <c r="BB25" i="11"/>
  <c r="BB20" i="11"/>
  <c r="BB18" i="11" s="1"/>
  <c r="BB45" i="11" s="1"/>
  <c r="AN26" i="11"/>
  <c r="AU20" i="11"/>
  <c r="AT36" i="11"/>
  <c r="BO26" i="11"/>
  <c r="BO40" i="11"/>
  <c r="BR22" i="11"/>
  <c r="BR18" i="11" s="1"/>
  <c r="BR45" i="11" s="1"/>
  <c r="BR25" i="11"/>
  <c r="E20" i="11"/>
  <c r="R26" i="11"/>
  <c r="I26" i="11"/>
  <c r="P20" i="11"/>
  <c r="O20" i="11"/>
  <c r="H26" i="11"/>
  <c r="G26" i="11"/>
  <c r="N20" i="11"/>
  <c r="F26" i="11"/>
  <c r="D20" i="11"/>
  <c r="G38" i="13"/>
  <c r="G20" i="13" s="1"/>
  <c r="K38" i="13"/>
  <c r="I38" i="13" s="1"/>
  <c r="G18" i="13"/>
  <c r="E18" i="13"/>
  <c r="D23" i="13"/>
  <c r="D18" i="13"/>
  <c r="D16" i="13" s="1"/>
  <c r="D43" i="13" s="1"/>
  <c r="O20" i="17" l="1"/>
  <c r="BG24" i="16"/>
  <c r="AN19" i="15"/>
  <c r="AS19" i="15"/>
  <c r="L19" i="14"/>
  <c r="AS20" i="11"/>
  <c r="AP20" i="11"/>
  <c r="J26" i="11"/>
  <c r="G16" i="13"/>
  <c r="G43" i="13" s="1"/>
  <c r="R17" i="15"/>
  <c r="K17" i="15" s="1"/>
  <c r="K44" i="15" s="1"/>
  <c r="K19" i="15"/>
  <c r="AQ26" i="11"/>
  <c r="AX20" i="11"/>
  <c r="AQ20" i="11" s="1"/>
  <c r="N17" i="14"/>
  <c r="AR19" i="15"/>
  <c r="AY17" i="15"/>
  <c r="AR17" i="15" s="1"/>
  <c r="AG19" i="16"/>
  <c r="BF19" i="16" s="1"/>
  <c r="AL17" i="16"/>
  <c r="AG17" i="16" s="1"/>
  <c r="BF17" i="16" s="1"/>
  <c r="AN17" i="15"/>
  <c r="F20" i="17"/>
  <c r="AM17" i="16"/>
  <c r="AH17" i="16" s="1"/>
  <c r="BG17" i="16" s="1"/>
  <c r="AH19" i="16"/>
  <c r="BG19" i="16" s="1"/>
  <c r="AS17" i="15"/>
  <c r="K17" i="16"/>
  <c r="F17" i="16" s="1"/>
  <c r="BD17" i="16" s="1"/>
  <c r="F19" i="16"/>
  <c r="BE24" i="16"/>
  <c r="M19" i="14"/>
  <c r="R17" i="14"/>
  <c r="M17" i="14" s="1"/>
  <c r="G19" i="16"/>
  <c r="L17" i="16"/>
  <c r="G17" i="16" s="1"/>
  <c r="BD24" i="16"/>
  <c r="Q17" i="15"/>
  <c r="J17" i="15" s="1"/>
  <c r="J19" i="15"/>
  <c r="BJ17" i="15"/>
  <c r="AO17" i="15" s="1"/>
  <c r="AO19" i="15"/>
  <c r="AK17" i="16"/>
  <c r="AF17" i="16" s="1"/>
  <c r="AF19" i="16"/>
  <c r="AX17" i="15"/>
  <c r="AQ17" i="15" s="1"/>
  <c r="AQ19" i="15"/>
  <c r="F20" i="13"/>
  <c r="F16" i="13" s="1"/>
  <c r="F43" i="13" s="1"/>
  <c r="F23" i="13"/>
  <c r="AF25" i="17"/>
  <c r="AJ25" i="17"/>
  <c r="AE25" i="17" s="1"/>
  <c r="AO20" i="11"/>
  <c r="BY20" i="11" s="1"/>
  <c r="AV18" i="11"/>
  <c r="AR24" i="15"/>
  <c r="P17" i="14"/>
  <c r="K17" i="14" s="1"/>
  <c r="K19" i="14"/>
  <c r="L20" i="13"/>
  <c r="L16" i="13" s="1"/>
  <c r="L43" i="13" s="1"/>
  <c r="L23" i="13"/>
  <c r="L17" i="14"/>
  <c r="H19" i="15"/>
  <c r="O17" i="15"/>
  <c r="H17" i="15" s="1"/>
  <c r="F19" i="15"/>
  <c r="M17" i="15"/>
  <c r="F17" i="15" s="1"/>
  <c r="BD19" i="16"/>
  <c r="BY26" i="11"/>
  <c r="BE25" i="16"/>
  <c r="T43" i="13"/>
  <c r="I20" i="17"/>
  <c r="N18" i="17"/>
  <c r="N45" i="17" s="1"/>
  <c r="J20" i="17"/>
  <c r="Q18" i="17"/>
  <c r="G20" i="17"/>
  <c r="I25" i="17"/>
  <c r="J25" i="17"/>
  <c r="E25" i="17" s="1"/>
  <c r="AE26" i="17"/>
  <c r="H18" i="17"/>
  <c r="H45" i="17" s="1"/>
  <c r="AU18" i="17"/>
  <c r="AT20" i="17"/>
  <c r="AG20" i="17"/>
  <c r="AL18" i="17"/>
  <c r="AY20" i="17"/>
  <c r="AZ18" i="17"/>
  <c r="AM18" i="17"/>
  <c r="AH20" i="17"/>
  <c r="AJ20" i="17"/>
  <c r="AO20" i="17"/>
  <c r="AP18" i="17"/>
  <c r="AI20" i="17"/>
  <c r="AN18" i="17"/>
  <c r="AF20" i="17"/>
  <c r="Y18" i="17"/>
  <c r="Y45" i="17" s="1"/>
  <c r="F18" i="17"/>
  <c r="F45" i="17" s="1"/>
  <c r="L17" i="15"/>
  <c r="E19" i="15"/>
  <c r="I19" i="15"/>
  <c r="P17" i="15"/>
  <c r="I17" i="15" s="1"/>
  <c r="G19" i="15"/>
  <c r="AI17" i="15"/>
  <c r="AN20" i="11"/>
  <c r="AT26" i="11"/>
  <c r="BO20" i="11"/>
  <c r="AT20" i="11" s="1"/>
  <c r="BO25" i="11"/>
  <c r="BO22" i="11"/>
  <c r="BL40" i="11"/>
  <c r="R20" i="11"/>
  <c r="K26" i="11"/>
  <c r="G20" i="11"/>
  <c r="H20" i="11"/>
  <c r="I20" i="11"/>
  <c r="J20" i="11"/>
  <c r="F20" i="11"/>
  <c r="G23" i="13"/>
  <c r="E38" i="13"/>
  <c r="K20" i="13"/>
  <c r="K23" i="13"/>
  <c r="I23" i="13" s="1"/>
  <c r="E20" i="17" l="1"/>
  <c r="BE19" i="16"/>
  <c r="H20" i="13"/>
  <c r="H16" i="13" s="1"/>
  <c r="H43" i="13" s="1"/>
  <c r="H23" i="13"/>
  <c r="K16" i="13"/>
  <c r="K43" i="13" s="1"/>
  <c r="I20" i="13"/>
  <c r="I16" i="13" s="1"/>
  <c r="I43" i="13" s="1"/>
  <c r="AI18" i="17"/>
  <c r="AI45" i="17" s="1"/>
  <c r="AN45" i="17"/>
  <c r="G18" i="17"/>
  <c r="G45" i="17" s="1"/>
  <c r="Q45" i="17"/>
  <c r="AG18" i="17"/>
  <c r="AG45" i="17" s="1"/>
  <c r="AL45" i="17"/>
  <c r="AV45" i="11"/>
  <c r="BE17" i="16"/>
  <c r="AT18" i="17"/>
  <c r="AT45" i="17" s="1"/>
  <c r="AU45" i="17"/>
  <c r="G17" i="15"/>
  <c r="AI44" i="15"/>
  <c r="AO18" i="17"/>
  <c r="AO45" i="17" s="1"/>
  <c r="AP45" i="17"/>
  <c r="AH18" i="17"/>
  <c r="AH45" i="17" s="1"/>
  <c r="AM45" i="17"/>
  <c r="O18" i="17"/>
  <c r="O45" i="17" s="1"/>
  <c r="E17" i="15"/>
  <c r="AY18" i="17"/>
  <c r="AY45" i="17" s="1"/>
  <c r="AZ45" i="17"/>
  <c r="J18" i="17"/>
  <c r="I18" i="17"/>
  <c r="I45" i="17" s="1"/>
  <c r="AF18" i="17"/>
  <c r="AF45" i="17" s="1"/>
  <c r="AE20" i="17"/>
  <c r="AJ18" i="17"/>
  <c r="BO18" i="11"/>
  <c r="BO45" i="11" s="1"/>
  <c r="BL22" i="11"/>
  <c r="BL25" i="11"/>
  <c r="BI40" i="11"/>
  <c r="K20" i="11"/>
  <c r="E20" i="13"/>
  <c r="E16" i="13" s="1"/>
  <c r="E43" i="13" s="1"/>
  <c r="E23" i="13"/>
  <c r="G44" i="15" l="1"/>
  <c r="AE18" i="17"/>
  <c r="AE45" i="17" s="1"/>
  <c r="AJ45" i="17"/>
  <c r="E18" i="17"/>
  <c r="E45" i="17" s="1"/>
  <c r="J45" i="17"/>
  <c r="BI25" i="11"/>
  <c r="BI22" i="11"/>
  <c r="BF40" i="11"/>
  <c r="BL18" i="11"/>
  <c r="BL45" i="11" s="1"/>
  <c r="BC40" i="11" l="1"/>
  <c r="BI18" i="11"/>
  <c r="BI45" i="11" s="1"/>
  <c r="BF22" i="11"/>
  <c r="BF25" i="11"/>
  <c r="AZ40" i="11" l="1"/>
  <c r="BF18" i="11"/>
  <c r="BF45" i="11" s="1"/>
  <c r="BC25" i="11"/>
  <c r="BC22" i="11"/>
  <c r="AZ22" i="11" l="1"/>
  <c r="AZ25" i="11"/>
  <c r="AW40" i="11"/>
  <c r="BC18" i="11"/>
  <c r="BC45" i="11" l="1"/>
  <c r="AW25" i="11"/>
  <c r="AW22" i="11"/>
  <c r="AZ18" i="11"/>
  <c r="AZ45" i="11" s="1"/>
  <c r="D39" i="10"/>
  <c r="D33" i="10"/>
  <c r="AW18" i="11" l="1"/>
  <c r="AW45" i="11" s="1"/>
  <c r="E28" i="10" l="1"/>
  <c r="F28" i="10"/>
  <c r="G28" i="10"/>
  <c r="T28" i="10" s="1"/>
  <c r="N28" i="10" s="1"/>
  <c r="H28" i="10"/>
  <c r="E31" i="10"/>
  <c r="F31" i="10"/>
  <c r="F30" i="10" s="1"/>
  <c r="H31" i="10"/>
  <c r="H30" i="10" s="1"/>
  <c r="E38" i="10"/>
  <c r="F38" i="10"/>
  <c r="F37" i="10" s="1"/>
  <c r="H38" i="10"/>
  <c r="H37" i="10" s="1"/>
  <c r="E43" i="12"/>
  <c r="E42" i="12" s="1"/>
  <c r="E41" i="12" s="1"/>
  <c r="E40" i="12" s="1"/>
  <c r="E39" i="12" s="1"/>
  <c r="F41" i="12"/>
  <c r="D43" i="12"/>
  <c r="G26" i="12"/>
  <c r="H26" i="12"/>
  <c r="I26" i="12"/>
  <c r="J26" i="12"/>
  <c r="K26" i="12"/>
  <c r="L26" i="12"/>
  <c r="M26" i="12"/>
  <c r="N26" i="12"/>
  <c r="O26" i="12"/>
  <c r="P26" i="12"/>
  <c r="E30" i="10" l="1"/>
  <c r="D31" i="10"/>
  <c r="F40" i="12"/>
  <c r="F43" i="12"/>
  <c r="F42" i="12"/>
  <c r="G37" i="10"/>
  <c r="G30" i="10"/>
  <c r="E37" i="10"/>
  <c r="D38" i="10"/>
  <c r="H27" i="10"/>
  <c r="F27" i="10"/>
  <c r="D30" i="10" l="1"/>
  <c r="D37" i="10"/>
  <c r="F39" i="12"/>
  <c r="G27" i="10"/>
  <c r="E27" i="10"/>
  <c r="F26" i="10"/>
  <c r="F21" i="10"/>
  <c r="F19" i="10" s="1"/>
  <c r="F46" i="10" s="1"/>
  <c r="H26" i="10"/>
  <c r="H21" i="10"/>
  <c r="H19" i="10" s="1"/>
  <c r="H46" i="10" s="1"/>
  <c r="E21" i="10"/>
  <c r="E19" i="10" s="1"/>
  <c r="E46" i="10" s="1"/>
  <c r="E26" i="10"/>
  <c r="D27" i="10" l="1"/>
  <c r="G26" i="10"/>
  <c r="D26" i="10" s="1"/>
  <c r="G21" i="10"/>
  <c r="G19" i="10" l="1"/>
  <c r="D21" i="10"/>
  <c r="K35" i="12"/>
  <c r="L35" i="12"/>
  <c r="Q35" i="12" s="1"/>
  <c r="O35" i="12"/>
  <c r="I35" i="12"/>
  <c r="I25" i="12" s="1"/>
  <c r="I24" i="12" s="1"/>
  <c r="J35" i="12"/>
  <c r="M35" i="12"/>
  <c r="N35" i="12"/>
  <c r="P35" i="12"/>
  <c r="L28" i="12"/>
  <c r="N28" i="12"/>
  <c r="O28" i="12"/>
  <c r="P28" i="12"/>
  <c r="P25" i="12" s="1"/>
  <c r="I28" i="12"/>
  <c r="J28" i="12"/>
  <c r="J25" i="12" s="1"/>
  <c r="J19" i="12" s="1"/>
  <c r="J17" i="12" s="1"/>
  <c r="K28" i="12"/>
  <c r="M28" i="12"/>
  <c r="F33" i="12"/>
  <c r="F26" i="12"/>
  <c r="E35" i="12"/>
  <c r="E33" i="12"/>
  <c r="E26" i="12"/>
  <c r="E21" i="12"/>
  <c r="D39" i="12"/>
  <c r="D21" i="12" s="1"/>
  <c r="H37" i="12"/>
  <c r="H36" i="12" s="1"/>
  <c r="G37" i="12"/>
  <c r="F37" i="12"/>
  <c r="F35" i="12" s="1"/>
  <c r="H31" i="12"/>
  <c r="H29" i="12" s="1"/>
  <c r="H28" i="12" s="1"/>
  <c r="G31" i="12"/>
  <c r="F31" i="12"/>
  <c r="F29" i="12" s="1"/>
  <c r="D35" i="12"/>
  <c r="D33" i="12"/>
  <c r="D26" i="12"/>
  <c r="G46" i="10" l="1"/>
  <c r="D46" i="10" s="1"/>
  <c r="D19" i="10"/>
  <c r="G36" i="12"/>
  <c r="G35" i="12" s="1"/>
  <c r="N25" i="12"/>
  <c r="N19" i="12" s="1"/>
  <c r="N17" i="12" s="1"/>
  <c r="O25" i="12"/>
  <c r="O19" i="12" s="1"/>
  <c r="O17" i="12" s="1"/>
  <c r="I19" i="12"/>
  <c r="I17" i="12" s="1"/>
  <c r="M25" i="12"/>
  <c r="M19" i="12" s="1"/>
  <c r="M17" i="12" s="1"/>
  <c r="K25" i="12"/>
  <c r="K24" i="12" s="1"/>
  <c r="L25" i="12"/>
  <c r="Q25" i="12" s="1"/>
  <c r="G29" i="12"/>
  <c r="G28" i="12" s="1"/>
  <c r="P19" i="12"/>
  <c r="P17" i="12" s="1"/>
  <c r="P24" i="12"/>
  <c r="J24" i="12"/>
  <c r="N24" i="12"/>
  <c r="H35" i="12"/>
  <c r="F28" i="12"/>
  <c r="F25" i="12" s="1"/>
  <c r="E28" i="12"/>
  <c r="E25" i="12" s="1"/>
  <c r="E24" i="12" s="1"/>
  <c r="D25" i="12"/>
  <c r="D19" i="12" s="1"/>
  <c r="D17" i="12" s="1"/>
  <c r="L19" i="12" l="1"/>
  <c r="O24" i="12"/>
  <c r="G25" i="12"/>
  <c r="M24" i="12"/>
  <c r="K19" i="12"/>
  <c r="K17" i="12" s="1"/>
  <c r="L24" i="12"/>
  <c r="Q24" i="12" s="1"/>
  <c r="G24" i="12"/>
  <c r="G19" i="12"/>
  <c r="G17" i="12" s="1"/>
  <c r="T39" i="10"/>
  <c r="T33" i="10"/>
  <c r="H25" i="12"/>
  <c r="D24" i="12"/>
  <c r="F24" i="12"/>
  <c r="F19" i="12"/>
  <c r="F17" i="12" s="1"/>
  <c r="E19" i="12"/>
  <c r="E17" i="12" s="1"/>
  <c r="L17" i="12" l="1"/>
  <c r="Q17" i="12" s="1"/>
  <c r="Q19" i="12"/>
  <c r="T38" i="10"/>
  <c r="O33" i="10"/>
  <c r="N33" i="10"/>
  <c r="T31" i="10"/>
  <c r="U39" i="10"/>
  <c r="O39" i="10" s="1"/>
  <c r="N39" i="10"/>
  <c r="H24" i="12"/>
  <c r="H19" i="12"/>
  <c r="H17" i="12" s="1"/>
  <c r="R40" i="11"/>
  <c r="L40" i="11"/>
  <c r="L25" i="11" s="1"/>
  <c r="M40" i="11"/>
  <c r="M25" i="11" s="1"/>
  <c r="P40" i="11"/>
  <c r="N40" i="11"/>
  <c r="N25" i="11" s="1"/>
  <c r="Q40" i="11"/>
  <c r="Q22" i="11" s="1"/>
  <c r="O40" i="11"/>
  <c r="O22" i="11" s="1"/>
  <c r="O25" i="11"/>
  <c r="N31" i="10" l="1"/>
  <c r="U31" i="10"/>
  <c r="O31" i="10" s="1"/>
  <c r="U38" i="10"/>
  <c r="O38" i="10" s="1"/>
  <c r="N38" i="10"/>
  <c r="T30" i="10"/>
  <c r="T37" i="10"/>
  <c r="Q18" i="11"/>
  <c r="Q45" i="11" s="1"/>
  <c r="O18" i="11"/>
  <c r="O45" i="11" s="1"/>
  <c r="Q25" i="11"/>
  <c r="P25" i="11"/>
  <c r="P22" i="11"/>
  <c r="R25" i="11"/>
  <c r="R22" i="11"/>
  <c r="N22" i="11"/>
  <c r="L22" i="11"/>
  <c r="M22" i="11"/>
  <c r="N37" i="10" l="1"/>
  <c r="U37" i="10"/>
  <c r="O37" i="10" s="1"/>
  <c r="N30" i="10"/>
  <c r="U30" i="10"/>
  <c r="O30" i="10" s="1"/>
  <c r="T26" i="10"/>
  <c r="T27" i="10"/>
  <c r="M18" i="11"/>
  <c r="M45" i="11" s="1"/>
  <c r="L18" i="11"/>
  <c r="L45" i="11" s="1"/>
  <c r="N18" i="11"/>
  <c r="N45" i="11" s="1"/>
  <c r="R18" i="11"/>
  <c r="R45" i="11" s="1"/>
  <c r="P18" i="11"/>
  <c r="P45" i="11" s="1"/>
  <c r="T40" i="11"/>
  <c r="U40" i="11"/>
  <c r="W40" i="11"/>
  <c r="V40" i="11"/>
  <c r="X40" i="11"/>
  <c r="Y40" i="11"/>
  <c r="Y22" i="11" s="1"/>
  <c r="S40" i="11"/>
  <c r="S25" i="11" s="1"/>
  <c r="S22" i="11"/>
  <c r="S18" i="11" s="1"/>
  <c r="S45" i="11" s="1"/>
  <c r="U27" i="10" l="1"/>
  <c r="O27" i="10" s="1"/>
  <c r="N27" i="10"/>
  <c r="U26" i="10"/>
  <c r="O26" i="10" s="1"/>
  <c r="N26" i="10"/>
  <c r="T21" i="10"/>
  <c r="Y18" i="11"/>
  <c r="Y45" i="11" s="1"/>
  <c r="W25" i="11"/>
  <c r="V22" i="11"/>
  <c r="U25" i="11"/>
  <c r="U22" i="11"/>
  <c r="Y25" i="11"/>
  <c r="X22" i="11"/>
  <c r="X25" i="11"/>
  <c r="V25" i="11"/>
  <c r="W22" i="11"/>
  <c r="T25" i="11"/>
  <c r="T22" i="11"/>
  <c r="U21" i="10" l="1"/>
  <c r="O21" i="10" s="1"/>
  <c r="N21" i="10"/>
  <c r="T19" i="10"/>
  <c r="X18" i="11"/>
  <c r="X45" i="11" s="1"/>
  <c r="T18" i="11"/>
  <c r="T45" i="11" s="1"/>
  <c r="W18" i="11"/>
  <c r="W45" i="11" s="1"/>
  <c r="U18" i="11"/>
  <c r="U45" i="11" s="1"/>
  <c r="V18" i="11"/>
  <c r="V45" i="11" s="1"/>
  <c r="AB40" i="11"/>
  <c r="Z40" i="11"/>
  <c r="Z22" i="11" s="1"/>
  <c r="AF40" i="11"/>
  <c r="AE40" i="11"/>
  <c r="AE22" i="11" s="1"/>
  <c r="AA40" i="11"/>
  <c r="AD40" i="11"/>
  <c r="AC40" i="11"/>
  <c r="AC22" i="11"/>
  <c r="Z25" i="11" l="1"/>
  <c r="T46" i="10"/>
  <c r="U19" i="10"/>
  <c r="N19" i="10"/>
  <c r="N46" i="10" s="1"/>
  <c r="AE18" i="11"/>
  <c r="AE45" i="11" s="1"/>
  <c r="AC18" i="11"/>
  <c r="AC45" i="11" s="1"/>
  <c r="AD22" i="11"/>
  <c r="AA22" i="11"/>
  <c r="AD25" i="11"/>
  <c r="AC25" i="11"/>
  <c r="AE25" i="11"/>
  <c r="AF22" i="11"/>
  <c r="Z18" i="11"/>
  <c r="Z45" i="11" s="1"/>
  <c r="AF25" i="11"/>
  <c r="AB25" i="11"/>
  <c r="AA25" i="11"/>
  <c r="AB22" i="11"/>
  <c r="U46" i="10" l="1"/>
  <c r="O19" i="10"/>
  <c r="O46" i="10" s="1"/>
  <c r="AB18" i="11"/>
  <c r="AB45" i="11" s="1"/>
  <c r="AD18" i="11"/>
  <c r="AD45" i="11" s="1"/>
  <c r="AF18" i="11"/>
  <c r="AF45" i="11" s="1"/>
  <c r="AA18" i="11"/>
  <c r="AA45" i="11" s="1"/>
  <c r="F41" i="11"/>
  <c r="J43" i="11"/>
  <c r="J42" i="11"/>
  <c r="I41" i="11"/>
  <c r="K42" i="11"/>
  <c r="K43" i="11"/>
  <c r="F43" i="11"/>
  <c r="E42" i="11"/>
  <c r="G43" i="11"/>
  <c r="J41" i="11"/>
  <c r="E41" i="11"/>
  <c r="K41" i="11"/>
  <c r="F42" i="11"/>
  <c r="H41" i="11"/>
  <c r="I43" i="11"/>
  <c r="E43" i="11"/>
  <c r="H43" i="11"/>
  <c r="F40" i="11"/>
  <c r="H42" i="11"/>
  <c r="G42" i="11"/>
  <c r="AM40" i="11"/>
  <c r="K40" i="11" s="1"/>
  <c r="I42" i="11"/>
  <c r="AL40" i="11"/>
  <c r="J40" i="11" s="1"/>
  <c r="AG40" i="11"/>
  <c r="E40" i="11" s="1"/>
  <c r="AK40" i="11"/>
  <c r="I40" i="11" s="1"/>
  <c r="AJ40" i="11"/>
  <c r="H40" i="11" s="1"/>
  <c r="AJ25" i="11"/>
  <c r="H25" i="11" s="1"/>
  <c r="AI40" i="11"/>
  <c r="AI25" i="11" s="1"/>
  <c r="G25" i="11" s="1"/>
  <c r="D40" i="11" l="1"/>
  <c r="D25" i="11" s="1"/>
  <c r="AK25" i="11"/>
  <c r="I25" i="11" s="1"/>
  <c r="AL22" i="11"/>
  <c r="AH22" i="11"/>
  <c r="AI22" i="11"/>
  <c r="G22" i="11" s="1"/>
  <c r="G40" i="11"/>
  <c r="AL25" i="11"/>
  <c r="J25" i="11" s="1"/>
  <c r="AM25" i="11"/>
  <c r="K25" i="11" s="1"/>
  <c r="AG25" i="11"/>
  <c r="E25" i="11" s="1"/>
  <c r="AG22" i="11"/>
  <c r="AJ22" i="11"/>
  <c r="AM22" i="11"/>
  <c r="AK22" i="11"/>
  <c r="AH25" i="11"/>
  <c r="F25" i="11" s="1"/>
  <c r="D22" i="11" l="1"/>
  <c r="D18" i="11" s="1"/>
  <c r="D45" i="11" s="1"/>
  <c r="F22" i="11"/>
  <c r="AH18" i="11"/>
  <c r="J22" i="11"/>
  <c r="AL18" i="11"/>
  <c r="AI18" i="11"/>
  <c r="G18" i="11" s="1"/>
  <c r="G45" i="11" s="1"/>
  <c r="AI45" i="11"/>
  <c r="I22" i="11"/>
  <c r="AK18" i="11"/>
  <c r="H22" i="11"/>
  <c r="AJ18" i="11"/>
  <c r="K22" i="11"/>
  <c r="AM18" i="11"/>
  <c r="E22" i="11"/>
  <c r="AG18" i="11"/>
  <c r="AU40" i="11"/>
  <c r="AX40" i="11"/>
  <c r="BA40" i="11"/>
  <c r="BA25" i="11"/>
  <c r="AL45" i="11" l="1"/>
  <c r="J18" i="11"/>
  <c r="J45" i="11" s="1"/>
  <c r="F18" i="11"/>
  <c r="F45" i="11" s="1"/>
  <c r="AH45" i="11"/>
  <c r="I18" i="11"/>
  <c r="I45" i="11" s="1"/>
  <c r="AK45" i="11"/>
  <c r="E18" i="11"/>
  <c r="E45" i="11" s="1"/>
  <c r="AG45" i="11"/>
  <c r="K18" i="11"/>
  <c r="K45" i="11" s="1"/>
  <c r="AM45" i="11"/>
  <c r="H18" i="11"/>
  <c r="H45" i="11" s="1"/>
  <c r="AJ45" i="11"/>
  <c r="AX22" i="11"/>
  <c r="BA22" i="11"/>
  <c r="AX25" i="11"/>
  <c r="AU22" i="11"/>
  <c r="AU25" i="11"/>
  <c r="AX18" i="11" l="1"/>
  <c r="AX45" i="11" s="1"/>
  <c r="AU18" i="11"/>
  <c r="AU45" i="11" s="1"/>
  <c r="BA18" i="11"/>
  <c r="BA45" i="11" s="1"/>
  <c r="AS42" i="11"/>
  <c r="AS41" i="11"/>
  <c r="AS43" i="11"/>
  <c r="AP41" i="11"/>
  <c r="BD40" i="11"/>
  <c r="BD25" i="11" s="1"/>
  <c r="AP25" i="11" s="1"/>
  <c r="AP43" i="11"/>
  <c r="BG40" i="11"/>
  <c r="AS40" i="11" s="1"/>
  <c r="AP42" i="11"/>
  <c r="BG25" i="11" l="1"/>
  <c r="AS25" i="11" s="1"/>
  <c r="AP40" i="11"/>
  <c r="BD22" i="11"/>
  <c r="BG22" i="11"/>
  <c r="AS22" i="11" l="1"/>
  <c r="BG18" i="11"/>
  <c r="BD18" i="11"/>
  <c r="AP22" i="11"/>
  <c r="AR41" i="11"/>
  <c r="AR42" i="11"/>
  <c r="AR43" i="11"/>
  <c r="AO43" i="11"/>
  <c r="BY43" i="11" s="1"/>
  <c r="BJ40" i="11"/>
  <c r="AO40" i="11" s="1"/>
  <c r="BY40" i="11" s="1"/>
  <c r="BM40" i="11"/>
  <c r="AR40" i="11" s="1"/>
  <c r="BM25" i="11"/>
  <c r="AR25" i="11" s="1"/>
  <c r="AO42" i="11"/>
  <c r="BY42" i="11" s="1"/>
  <c r="AO41" i="11"/>
  <c r="BY41" i="11" s="1"/>
  <c r="AP18" i="11" l="1"/>
  <c r="AP45" i="11" s="1"/>
  <c r="BD45" i="11"/>
  <c r="AS18" i="11"/>
  <c r="AS45" i="11" s="1"/>
  <c r="BG45" i="11"/>
  <c r="AT43" i="11"/>
  <c r="AT42" i="11"/>
  <c r="BV40" i="11"/>
  <c r="AT41" i="11"/>
  <c r="BM22" i="11"/>
  <c r="BJ25" i="11"/>
  <c r="AO25" i="11" s="1"/>
  <c r="BY25" i="11" s="1"/>
  <c r="BJ22" i="11"/>
  <c r="BS40" i="11" l="1"/>
  <c r="AQ41" i="11"/>
  <c r="BV25" i="11"/>
  <c r="AT25" i="11" s="1"/>
  <c r="AT40" i="11"/>
  <c r="BV22" i="11"/>
  <c r="AO22" i="11"/>
  <c r="BY22" i="11" s="1"/>
  <c r="BJ18" i="11"/>
  <c r="AR22" i="11"/>
  <c r="BM18" i="11"/>
  <c r="AQ42" i="11"/>
  <c r="AN42" i="11"/>
  <c r="AN43" i="11"/>
  <c r="AQ43" i="11"/>
  <c r="BJ45" i="11" l="1"/>
  <c r="AO18" i="11"/>
  <c r="AO45" i="11" s="1"/>
  <c r="AR18" i="11"/>
  <c r="AR45" i="11" s="1"/>
  <c r="BM45" i="11"/>
  <c r="AQ40" i="11"/>
  <c r="BS22" i="11"/>
  <c r="BS25" i="11"/>
  <c r="AQ25" i="11" s="1"/>
  <c r="AT22" i="11"/>
  <c r="BV18" i="11"/>
  <c r="AN41" i="11"/>
  <c r="BP40" i="11"/>
  <c r="AT18" i="11" l="1"/>
  <c r="AT45" i="11" s="1"/>
  <c r="BV45" i="11"/>
  <c r="BY18" i="11"/>
  <c r="BY45" i="11" s="1"/>
  <c r="BP25" i="11"/>
  <c r="AN25" i="11" s="1"/>
  <c r="AN40" i="11"/>
  <c r="BP22" i="11"/>
  <c r="AQ22" i="11"/>
  <c r="BS18" i="11"/>
  <c r="AQ18" i="11" l="1"/>
  <c r="AQ45" i="11" s="1"/>
  <c r="BS45" i="11"/>
  <c r="BP18" i="11"/>
  <c r="AN22" i="11"/>
  <c r="H44" i="11"/>
  <c r="F44" i="11"/>
  <c r="J44" i="11"/>
  <c r="I44" i="11"/>
  <c r="K44" i="11"/>
  <c r="E44" i="11"/>
  <c r="G44" i="11"/>
  <c r="D44" i="11" s="1"/>
  <c r="BY44" i="11"/>
  <c r="AN18" i="11" l="1"/>
  <c r="AN45" i="11" s="1"/>
  <c r="BP45" i="11"/>
  <c r="S42" i="13" l="1"/>
</calcChain>
</file>

<file path=xl/sharedStrings.xml><?xml version="1.0" encoding="utf-8"?>
<sst xmlns="http://schemas.openxmlformats.org/spreadsheetml/2006/main" count="5258" uniqueCount="1141">
  <si>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</si>
  <si>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</si>
  <si>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</si>
  <si>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 (с НДС)</t>
  </si>
  <si>
    <t>Оценка полной стоимости инвестиционного проекта в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</si>
  <si>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Причины отклонении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</si>
  <si>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</si>
  <si>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</si>
  <si>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</si>
  <si>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</si>
  <si>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</si>
  <si>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</si>
  <si>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</si>
  <si>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</si>
  <si>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</si>
  <si>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</si>
  <si>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   </t>
  </si>
  <si>
    <t>ВСЕГО по инвестиционной программе, в том числе;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</si>
  <si>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*+* или "-".</t>
  </si>
  <si>
    <t>к приказу Минэнерго России</t>
  </si>
  <si>
    <t>от " 25 " апреля 2018 г. № 320</t>
  </si>
  <si>
    <t>                                                                             полное наименование субъекта электроэнергетики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</si>
  <si>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 инвестиционную программу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</si>
  <si>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</si>
  <si>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</si>
  <si>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Причины отклонений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</si>
  <si>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</si>
  <si>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</si>
  <si>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</si>
  <si>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</si>
  <si>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</si>
  <si>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ВСЕГО по инвестиционной программе, в том числе: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</si>
  <si>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</si>
  <si>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 3</t>
  </si>
  <si>
    <t>                                               Форма 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</si>
  <si>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</si>
  <si>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N</t>
  </si>
  <si>
    <t>нематериальные активы</t>
  </si>
  <si>
    <t>основные средства</t>
  </si>
  <si>
    <t>МВхА</t>
  </si>
  <si>
    <t>Мвар</t>
  </si>
  <si>
    <t>км ЛЭП</t>
  </si>
  <si>
    <t>МВт</t>
  </si>
  <si>
    <t>Другое</t>
  </si>
  <si>
    <t>И</t>
  </si>
  <si>
    <t>Приложение № 4</t>
  </si>
  <si>
    <t>               Форма 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</si>
  <si>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</si>
  <si>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Отклонения от плановых показателей года N</t>
  </si>
  <si>
    <t>Квартал</t>
  </si>
  <si>
    <t>------------------------------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</si>
  <si>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</si>
  <si>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№ 5</t>
  </si>
  <si>
    <t>                                     Форма 5. Отчет об исполнении плана ввода объектов инвестиционной деятельности (мощностей) в эксплуатацию</t>
  </si>
  <si>
    <t>кмВЛ 1-цеп</t>
  </si>
  <si>
    <t>км ВЛ 2-цеп</t>
  </si>
  <si>
    <t>км ЛК</t>
  </si>
  <si>
    <t>Дата ввода объекта, дд.мм.гггт</t>
  </si>
  <si>
    <t>км ВЛ 1-цеп</t>
  </si>
  <si>
    <t>кмВЛ 2-цеп</t>
  </si>
  <si>
    <t>км КЛ</t>
  </si>
  <si>
    <t>Приложение № 1</t>
  </si>
  <si>
    <t>от "25" апреля 2018 г. № 320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</si>
  <si>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 инвестиционную программу</t>
  </si>
  <si>
    <t>Форма. Отчет об исполнении плана освоения капитальных вложений по инвестиционным проектам инвестиционной программы</t>
  </si>
  <si>
    <t>Приложение 2</t>
  </si>
  <si>
    <t>от " 25 " апреля 2018 г. № 321</t>
  </si>
  <si>
    <t>к Приказу Минэнерго России</t>
  </si>
  <si>
    <t>Приложение № 6</t>
  </si>
  <si>
    <t>                                         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</si>
  <si>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</si>
  <si>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</si>
  <si>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   </t>
  </si>
  <si>
    <t>Приложение № 7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</si>
  <si>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</si>
  <si>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</si>
  <si>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</si>
  <si>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</si>
  <si>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</si>
  <si>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</si>
  <si>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</si>
  <si>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</si>
  <si>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</si>
  <si>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план</t>
  </si>
  <si>
    <t>факт</t>
  </si>
  <si>
    <t>4....</t>
  </si>
  <si>
    <t>4. ...</t>
  </si>
  <si>
    <t>5....</t>
  </si>
  <si>
    <t>6....</t>
  </si>
  <si>
    <t>6. ...</t>
  </si>
  <si>
    <t>7....</t>
  </si>
  <si>
    <t>8....</t>
  </si>
  <si>
    <t>9....</t>
  </si>
  <si>
    <t>10. ...</t>
  </si>
  <si>
    <t>10....</t>
  </si>
  <si>
    <t>Приложение № 8</t>
  </si>
  <si>
    <t>     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</si>
  <si>
    <t>                                                            отдельно по каждому центру питания напряжением 35 кВ и выше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</si>
  <si>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</si>
  <si>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</si>
  <si>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</si>
  <si>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</si>
  <si>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</si>
  <si>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кВтхч/год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</si>
  <si>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</si>
  <si>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</si>
  <si>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Отклонение от плана финансирования по итогам отчетного периода</t>
  </si>
  <si>
    <t>Приложение № 13</t>
  </si>
  <si>
    <t>Первоначальная стоимость принимаемых к учету основных средств и нематериальных активов, млн. рублей(без НДС)</t>
  </si>
  <si>
    <t>Всего</t>
  </si>
  <si>
    <t>I квартал</t>
  </si>
  <si>
    <t>II квартал</t>
  </si>
  <si>
    <t>III квартал</t>
  </si>
  <si>
    <t>IV квартал</t>
  </si>
  <si>
    <t>млн.рублей (без НДС)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</si>
  <si>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</si>
  <si>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</si>
  <si>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</si>
  <si>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</si>
  <si>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</si>
  <si>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</si>
  <si>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</si>
  <si>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</si>
  <si>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</si>
  <si>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</si>
  <si>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</si>
  <si>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</si>
  <si>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</si>
  <si>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</si>
  <si>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</si>
  <si>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</si>
  <si>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</si>
  <si>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</si>
  <si>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</si>
  <si>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</si>
  <si>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</si>
  <si>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</si>
  <si>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</si>
  <si>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</si>
  <si>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</si>
  <si>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</si>
  <si>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</si>
  <si>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</si>
  <si>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</si>
  <si>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</si>
  <si>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</si>
  <si>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</si>
  <si>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</si>
  <si>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</si>
  <si>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Приложение № 11</t>
  </si>
  <si>
    <t>Приложение № 10</t>
  </si>
  <si>
    <t>     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</si>
  <si>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Остаток финансирования капитальных вложений на конец отчетного периода в прогнозных ценах соответствующих лет, млн. рублей (с НДС)</t>
  </si>
  <si>
    <t>Приложение № 12</t>
  </si>
  <si>
    <t>                  Форма 12. Отчет об исполнении плана освоения капитальных вложений по инвестиционным проектам инвестиционной программы (квартальный)</t>
  </si>
  <si>
    <t>Остаток освоения капитальных вложений на конец отчетного периода, млн.рублей (без НДС)</t>
  </si>
  <si>
    <t>Отклонение от плана освоения по итогам отчетного периода</t>
  </si>
  <si>
    <t>б</t>
  </si>
  <si>
    <t>Приложение № 14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</si>
  <si>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</si>
  <si>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</si>
  <si>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</si>
  <si>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</si>
  <si>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</si>
  <si>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</si>
  <si>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</si>
  <si>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</si>
  <si>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</si>
  <si>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</si>
  <si>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</si>
  <si>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</si>
  <si>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</si>
  <si>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</si>
  <si>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</si>
  <si>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</si>
  <si>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</si>
  <si>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</si>
  <si>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</si>
  <si>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</si>
  <si>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</si>
  <si>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</si>
  <si>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</si>
  <si>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</si>
  <si>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</si>
  <si>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</si>
  <si>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Приложение № 15</t>
  </si>
  <si>
    <t>кмКЛ</t>
  </si>
  <si>
    <t>Отклонения от плановых показателей по итогам отчетного периода</t>
  </si>
  <si>
    <t>5.4.7.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</si>
  <si>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</si>
  <si>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</si>
  <si>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</si>
  <si>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</si>
  <si>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</si>
  <si>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</si>
  <si>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</si>
  <si>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</si>
  <si>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</si>
  <si>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</si>
  <si>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</si>
  <si>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</si>
  <si>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</si>
  <si>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</si>
  <si>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</si>
  <si>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</si>
  <si>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</si>
  <si>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</si>
  <si>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</si>
  <si>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</si>
  <si>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</si>
  <si>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</si>
  <si>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</si>
  <si>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</si>
  <si>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</si>
  <si>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</si>
  <si>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</si>
  <si>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</si>
  <si>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</si>
  <si>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</si>
  <si>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7.6.</t>
  </si>
  <si>
    <t>7.7.</t>
  </si>
  <si>
    <t>Приложение № 16</t>
  </si>
  <si>
    <t>Наименование объекта выводимого из эксплуатации</t>
  </si>
  <si>
    <t>1 квартал</t>
  </si>
  <si>
    <t>Приложение № 17</t>
  </si>
  <si>
    <t>                   Форма 17. Отчет об исполнении основных этапов работ по инвестиционным проектам инвестиционной программы (квартальный)</t>
  </si>
  <si>
    <t>Ill квартал</t>
  </si>
  <si>
    <t>Всего, в том числе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</si>
  <si>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</si>
  <si>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</si>
  <si>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</si>
  <si>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</si>
  <si>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Всего, в том числе:</t>
  </si>
  <si>
    <t>проектно-изыскательские работа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</si>
  <si>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</si>
  <si>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</si>
  <si>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</si>
  <si>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</si>
  <si>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</si>
  <si>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</si>
  <si>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</si>
  <si>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</si>
  <si>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</si>
  <si>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</si>
  <si>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</si>
  <si>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</si>
  <si>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</si>
  <si>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</si>
  <si>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</si>
  <si>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</si>
  <si>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</si>
  <si>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</si>
  <si>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</si>
  <si>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</si>
  <si>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№ 18</t>
  </si>
  <si>
    <t>                       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</si>
  <si>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</si>
  <si>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10.</t>
  </si>
  <si>
    <t>Приложение № 19</t>
  </si>
  <si>
    <t>         Форма 19. Отчет о достигнутых результатах в части, касающейся расширения пропускной способности, снижения потерь в сетях</t>
  </si>
  <si>
    <t>                       и увеличения резерва для присоединения потребителей отдельно по каждому центру питания</t>
  </si>
  <si>
    <t>                                           напряжением 35 кВ и выше (квартальный)</t>
  </si>
  <si>
    <t>                                                                         полное наименование субъекта электроэнергетики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</si>
  <si>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</t>
  </si>
  <si>
    <t>                                                                                            инвестиционную программу</t>
  </si>
  <si>
    <t>факт на конец отчетного периода</t>
  </si>
  <si>
    <t>Отклонение от плана ввода основных средств по итогам отчетного периода</t>
  </si>
  <si>
    <t>Фактический объем финансирования капитальных вложений на 01.01. 2018 года, млн. рублей (с НДС)</t>
  </si>
  <si>
    <t>Остаток финансирования капитальных вложений на 01.01.2018 г. в прогнозных ценах соответствующих лет, млн. рублей (с НДС)</t>
  </si>
  <si>
    <t>Остаток финансирования капитальных вложений нa 01.01.2019 года в прогнозных ценах соответствующих лет, млн. рублей (с НДС)</t>
  </si>
  <si>
    <t>Финансирование капитальных вложений 2018 года, млн. рублей (с НДС)</t>
  </si>
  <si>
    <t xml:space="preserve">Отклонение от плана финансирования капитальных вложений 2018 года </t>
  </si>
  <si>
    <t>   F_SZhO_03.18</t>
  </si>
  <si>
    <t>F_SZhO_07</t>
  </si>
  <si>
    <t>                 Отчет о реализации инвестиционной программы  ООО "Системы жизнеобеспечения РМ"</t>
  </si>
  <si>
    <t>                                                               Год раскрытия информации: 2018 год</t>
  </si>
  <si>
    <t>Фактический объем освоения капитальных вложений на 01.01.2018 года , млн. рублей (без НДС)</t>
  </si>
  <si>
    <t>Остаток освоения капитальных вложений на 01.01.2018 года , млн. рублей (без НДС)</t>
  </si>
  <si>
    <t>Освоение капитальных вложений 2018 года, млн. рублей (без НДС)</t>
  </si>
  <si>
    <t>Остаток освоения капитальных вложений на 01.01.2019, млн. рублей (без НДС)</t>
  </si>
  <si>
    <t>Отклонение от плана освоения капитальных вложений 2018 года</t>
  </si>
  <si>
    <t>Реконструкция ВЛ-0,4 кВ, РМ, Ичалковский район, п. Смольный по ул. Тополей, Набережная, Школьная, Центральная, Спортивная, Дружбы, Солнечная, Новая, с. Кемля по ул. Советская, Октябрьская.</t>
  </si>
  <si>
    <t>Замена старых индукционных приборов учета(класс точности 2.5) на АСКУЭ с привязкой всех потребителей счетчиками типа "Матрица"</t>
  </si>
  <si>
    <t>                                 за 2018 год</t>
  </si>
  <si>
    <t>-</t>
  </si>
  <si>
    <t>                                                                                    Форма 7. Отчет о фактических значениях количественных показателей по инвестиционным проектам инвестиционной программы</t>
  </si>
  <si>
    <t>                                                                                                  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</si>
  <si>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факт года 2017 (на 01.01.2018 год)</t>
  </si>
  <si>
    <t>факт на 01.01.2018 г</t>
  </si>
  <si>
    <t>факт на 01.01.2019 г</t>
  </si>
  <si>
    <t>факт 2017 года (на 01.01.2018)</t>
  </si>
  <si>
    <t>факт 2018 г (на 01.01.2019 г)</t>
  </si>
  <si>
    <t>факт года 2018 (на 01.01.2019 год)</t>
  </si>
  <si>
    <t>факт 2018 года (на 01.01. 2019 год)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</si>
  <si>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</si>
  <si>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Отклонение от плана ввода основных средств 2018 года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</si>
  <si>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</t>
  </si>
  <si>
    <t xml:space="preserve">Ввод объектов инвестиционной деятельности (мощностей) в эксплуатацию в 2018 год </t>
  </si>
  <si>
    <t xml:space="preserve">Отклонения от плановых показателей 2018 года </t>
  </si>
  <si>
    <t>Вывод объектов инвестиционной деятельности (мощностей) из эксплуатации в 2018 год</t>
  </si>
  <si>
    <t>                                                                                        Форма 13. Отчет об исполнении плана ввода основных средств по инвестиционным проектам инвестиционной программы (квартальный)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</si>
  <si>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</si>
  <si>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                                                                                                      Форма 16. Отчет об исполнении плана вывода объектов инвестиционной деятельности (мощностей) из эксплуатации (квартальный)</t>
  </si>
  <si>
    <t>                                                                                                                                     Форма 15. Отчет об исполнении плана ввода объектов инвестиционной деятельности (мощностей) в эксплуатацию (квартальный)</t>
  </si>
  <si>
    <t xml:space="preserve">                                                                             полное наименование субъекта электроэнергетики  </t>
  </si>
  <si>
    <t>                 Отчет о реализации инвестиционной программы ООО "Системы жизнеобеспечения"</t>
  </si>
  <si>
    <t>                Отчет о реализации инвестиционной программы ОО "Системы жизнеобеспечения"</t>
  </si>
  <si>
    <t>                 Отчет о реализации инвестиционной программы   ООО "Системы жизнеобеспечения РМ"</t>
  </si>
  <si>
    <t>F_SZhO_03.18</t>
  </si>
  <si>
    <t>           Утвержденные плановые значения показателей приведены в соответствии с Приказом Министерства энергетики и тарифной политики Республики № 78 от 26  октября 2016 г.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</si>
  <si>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(Δртр.n),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</si>
  <si>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 (Δртп_тр.n)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</si>
  <si>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сеям (Δlлэп.n),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</si>
  <si>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сеям (Δlтп_лэп.n)</t>
  </si>
  <si>
    <t>Показатель максимальной мощности присоединяемых потребителей электрической эенергии (Sпотр.тп)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</si>
  <si>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(Sэх.тп)</t>
  </si>
  <si>
    <t>Показатель степени загрузки трансформаторной подстанции (Кзагр.)</t>
  </si>
  <si>
    <t>6-10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</si>
  <si>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</si>
  <si>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</si>
  <si>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</si>
  <si>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</si>
  <si>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</si>
  <si>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</si>
  <si>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</si>
  <si>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</si>
  <si>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</si>
  <si>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</si>
  <si>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</si>
  <si>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</si>
  <si>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</si>
  <si>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</si>
  <si>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</si>
  <si>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</si>
  <si>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силовых трансформаторов (Рз_тр.n)</t>
  </si>
  <si>
    <t>Показатель замены линий электропередачи (Lз_лэп.n), км</t>
  </si>
  <si>
    <t>Показатель замены выключателей (Вз.n), шт</t>
  </si>
  <si>
    <t>Показатель замены устройств компенсации реактивной мощности (Рз_укрм.n)</t>
  </si>
  <si>
    <t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(ΔПОдист)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</si>
  <si>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</si>
  <si>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</si>
  <si>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</si>
  <si>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</si>
  <si>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</si>
  <si>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</si>
  <si>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</si>
  <si>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</si>
  <si>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</si>
  <si>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</si>
  <si>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</si>
  <si>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</si>
  <si>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</si>
  <si>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частоты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</si>
  <si>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</si>
  <si>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6.1</t>
  </si>
  <si>
    <t>6.2</t>
  </si>
  <si>
    <t>6.3</t>
  </si>
  <si>
    <t>6.4</t>
  </si>
  <si>
    <t>6.5</t>
  </si>
  <si>
    <t>6.6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</si>
  <si>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</si>
  <si>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(Nсд_тпр.нс)</t>
  </si>
  <si>
    <t>7.1</t>
  </si>
  <si>
    <t>7.2</t>
  </si>
  <si>
    <t>7.3</t>
  </si>
  <si>
    <t>7.4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</si>
  <si>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</si>
  <si>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</si>
  <si>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</si>
  <si>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8.1</t>
  </si>
  <si>
    <t>8.2</t>
  </si>
  <si>
    <t>8.3</t>
  </si>
  <si>
    <t>8.4</t>
  </si>
  <si>
    <t>8.5</t>
  </si>
  <si>
    <t>8.6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</si>
  <si>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</si>
  <si>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(Фхо), млн.руб</t>
  </si>
  <si>
    <t>9.1</t>
  </si>
  <si>
    <t>9.2</t>
  </si>
  <si>
    <t>9.3</t>
  </si>
  <si>
    <t>9.4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</si>
  <si>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</si>
  <si>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10.1</t>
  </si>
  <si>
    <t>10.2</t>
  </si>
  <si>
    <t>0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</si>
  <si>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</si>
  <si>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</si>
  <si>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</si>
  <si>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</si>
  <si>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</si>
  <si>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</si>
  <si>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</si>
  <si>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</si>
  <si>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</si>
  <si>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</si>
  <si>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</si>
  <si>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</si>
  <si>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</si>
  <si>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</si>
  <si>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Мордовия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</si>
  <si>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</si>
  <si>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</si>
  <si>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</si>
  <si>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</si>
  <si>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</si>
  <si>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</si>
  <si>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1.2.2</t>
  </si>
  <si>
    <t>Реконструкция, модернизация, техническое перевооружение линий электрпередач, всего, в том числе:</t>
  </si>
  <si>
    <t>1.2.2.1</t>
  </si>
  <si>
    <t>Реконструкция линий электропередач, всего, в том числе:</t>
  </si>
  <si>
    <t>1.2.2.1.1</t>
  </si>
  <si>
    <t xml:space="preserve">Реконструкция ВЛ-0,4 кВ, РМ, Лямбирский район, с. Лямбирь по ул.  Комсомольская, Ленина, Садовая,  Тукая, Энергетиков   </t>
  </si>
  <si>
    <t>F_SZhO_01</t>
  </si>
  <si>
    <t>1.2.2.1.5</t>
  </si>
  <si>
    <t>Реконструкция ВЛ-0,4 кВ, РМ, Ичалковский район, п. Смольный по ул. Тополей,Набережная,Школьная, Центральная,Спортивная,Дружбы,Солнечная, Новая, с. Кемля по ул. Советская, Октябрьская</t>
  </si>
  <si>
    <t>1.2.2.1.7</t>
  </si>
  <si>
    <t>Реконструкция ВЛ-0,4 кВ, РМ, Большеберезниковский район, с. Б. Березники по ул. 50 лет Октября,60 лет Октября, Победы, Луначарского</t>
  </si>
  <si>
    <t>F_SZhO_04.19</t>
  </si>
  <si>
    <t>1.2.2.2</t>
  </si>
  <si>
    <t>Модернизация, техническое перевооружение линий электропередачи, всего, в том числе:</t>
  </si>
  <si>
    <t>1.2.2.2.1</t>
  </si>
  <si>
    <t>Мероприятие по замене провода меньшего сечения на большее по ул. 60 лет Октября в с. Б.Березники Большеберезниковского района</t>
  </si>
  <si>
    <t>F_SZhO_05.19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</si>
  <si>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</si>
  <si>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</si>
  <si>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</si>
  <si>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</si>
  <si>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</si>
  <si>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Замена старых индукционных приборов учета(класс точности 2.5) на АСКУЭ 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</si>
  <si>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</si>
  <si>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</si>
  <si>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</si>
  <si>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ТП 10/0,4 кВ, РМ, Кочкуровский район, с. Кочкурово по ул. Молодежная</t>
  </si>
  <si>
    <t>F_SZhO_08.19</t>
  </si>
  <si>
    <t>1.4.3</t>
  </si>
  <si>
    <t>Строительство ВЛ-10 кВ, РМ, Кочкуровский район, с. Кочкурово по ул. Молодежная</t>
  </si>
  <si>
    <t>F_SZhO_09.19</t>
  </si>
  <si>
    <t>1.4.5</t>
  </si>
  <si>
    <t>Строительство ВЛ-0,4 кВ, РМ, Кочкуровский район, с. Кочкурово по ул. Молодежная</t>
  </si>
  <si>
    <t>F_SZhO_10.19</t>
  </si>
  <si>
    <t>1.6</t>
  </si>
  <si>
    <t>Прочие инвестиционные проекты, всего, в том числе:</t>
  </si>
  <si>
    <t>1.2.2.1.2</t>
  </si>
  <si>
    <t>1.2.2.1.3</t>
  </si>
  <si>
    <t>1.4.2</t>
  </si>
  <si>
    <t>0,4 кВ</t>
  </si>
  <si>
    <t>6 - 10 кВ</t>
  </si>
  <si>
    <t>Приложение № 20</t>
  </si>
  <si>
    <t>от " 25 " апреля  2018 г. № 320</t>
  </si>
  <si>
    <t>Форма № 20 Отчет</t>
  </si>
  <si>
    <t xml:space="preserve">об исполнении финансового плана субъекта электроэнергетики (квартальный) </t>
  </si>
  <si>
    <r>
      <t xml:space="preserve">Инвестиционная программа  </t>
    </r>
    <r>
      <rPr>
        <u/>
        <sz val="14"/>
        <color indexed="8"/>
        <rFont val="Times New Roman"/>
        <family val="1"/>
        <charset val="204"/>
      </rPr>
      <t>Общество с ограниченной ответственностью "Системы жизнеобеспечения РМ"</t>
    </r>
  </si>
  <si>
    <t xml:space="preserve">                          полное наименование субъекта электроэнергетики</t>
  </si>
  <si>
    <r>
      <t xml:space="preserve">Субъект Российской Федерации: </t>
    </r>
    <r>
      <rPr>
        <u/>
        <sz val="14"/>
        <color indexed="8"/>
        <rFont val="Times New Roman"/>
        <family val="1"/>
        <charset val="204"/>
      </rPr>
      <t>Республика Мордовия</t>
    </r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</si>
  <si>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</si>
  <si>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</si>
  <si>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</si>
  <si>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</si>
  <si>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</si>
  <si>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2016 год</t>
  </si>
  <si>
    <t>2017 год</t>
  </si>
  <si>
    <t>2019 год</t>
  </si>
  <si>
    <t>Отклонение от плановых значений по итогам отчетного периода</t>
  </si>
  <si>
    <t>План полугодие</t>
  </si>
  <si>
    <t>Факт полугодие</t>
  </si>
  <si>
    <t xml:space="preserve">План </t>
  </si>
  <si>
    <t>Предложение по корректировке  утвержденного плана</t>
  </si>
  <si>
    <t>в ед. измер.</t>
  </si>
  <si>
    <t>в процентах,  %</t>
  </si>
  <si>
    <t>4</t>
  </si>
  <si>
    <t>5</t>
  </si>
  <si>
    <t>8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</si>
  <si>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</si>
  <si>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</si>
  <si>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</si>
  <si>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</si>
  <si>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</si>
  <si>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</si>
  <si>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</si>
  <si>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</si>
  <si>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</si>
  <si>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</si>
  <si>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</si>
  <si>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</si>
  <si>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</si>
  <si>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</si>
  <si>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</si>
  <si>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</si>
  <si>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</si>
  <si>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</si>
  <si>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</si>
  <si>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</si>
  <si>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</si>
  <si>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</si>
  <si>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</si>
  <si>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</si>
  <si>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</si>
  <si>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</si>
  <si>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</si>
  <si>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</si>
  <si>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</si>
  <si>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</si>
  <si>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</si>
  <si>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</si>
  <si>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</si>
  <si>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</si>
  <si>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</si>
  <si>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</si>
  <si>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</si>
  <si>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</si>
  <si>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</si>
  <si>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</si>
  <si>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</si>
  <si>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</si>
  <si>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</si>
  <si>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</si>
  <si>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</si>
  <si>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</si>
  <si>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</si>
  <si>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</si>
  <si>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</si>
  <si>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</si>
  <si>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</si>
  <si>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</si>
  <si>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</si>
  <si>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</si>
  <si>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</si>
  <si>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</si>
  <si>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</si>
  <si>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</si>
  <si>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</si>
  <si>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</si>
  <si>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</si>
  <si>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</si>
  <si>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</si>
  <si>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</si>
  <si>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</si>
  <si>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</si>
  <si>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</si>
  <si>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</si>
  <si>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</si>
  <si>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</si>
  <si>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</si>
  <si>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</si>
  <si>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</si>
  <si>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</si>
  <si>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</si>
  <si>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</si>
  <si>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</si>
  <si>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</si>
  <si>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</si>
  <si>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</si>
  <si>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</si>
  <si>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</si>
  <si>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</si>
  <si>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</si>
  <si>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</si>
  <si>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</si>
  <si>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</si>
  <si>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</si>
  <si>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</si>
  <si>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</si>
  <si>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</si>
  <si>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</si>
  <si>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</si>
  <si>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</si>
  <si>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</si>
  <si>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</si>
  <si>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</si>
  <si>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</si>
  <si>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</si>
  <si>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</si>
  <si>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</si>
  <si>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</si>
  <si>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</si>
  <si>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</si>
  <si>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</si>
  <si>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</si>
  <si>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</si>
  <si>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</si>
  <si>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</si>
  <si>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</si>
  <si>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</si>
  <si>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</si>
  <si>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</si>
  <si>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</si>
  <si>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</si>
  <si>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</si>
  <si>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</si>
  <si>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</si>
  <si>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</si>
  <si>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</si>
  <si>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</si>
  <si>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</si>
  <si>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</si>
  <si>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</si>
  <si>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</si>
  <si>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</si>
  <si>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</si>
  <si>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</si>
  <si>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</si>
  <si>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</si>
  <si>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</si>
  <si>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</si>
  <si>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</si>
  <si>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</si>
  <si>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</si>
  <si>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</si>
  <si>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</si>
  <si>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</si>
  <si>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</si>
  <si>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</si>
  <si>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</si>
  <si>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</si>
  <si>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</si>
  <si>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</si>
  <si>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5.8.1</t>
  </si>
  <si>
    <t>5.8.2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</si>
  <si>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</si>
  <si>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</si>
  <si>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</si>
  <si>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</si>
  <si>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</si>
  <si>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</si>
  <si>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</si>
  <si>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</si>
  <si>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</si>
  <si>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</si>
  <si>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</si>
  <si>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</si>
  <si>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</si>
  <si>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</si>
  <si>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</si>
  <si>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</si>
  <si>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</si>
  <si>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</si>
  <si>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</si>
  <si>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</si>
  <si>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</si>
  <si>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</si>
  <si>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</si>
  <si>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</si>
  <si>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</si>
  <si>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</si>
  <si>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</si>
  <si>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</si>
  <si>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</si>
  <si>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</si>
  <si>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</si>
  <si>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</si>
  <si>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</si>
  <si>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</si>
  <si>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</si>
  <si>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</si>
  <si>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</si>
  <si>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</si>
  <si>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</si>
  <si>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</si>
  <si>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</si>
  <si>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</si>
  <si>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</si>
  <si>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</si>
  <si>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</si>
  <si>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</si>
  <si>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</si>
  <si>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</si>
  <si>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</si>
  <si>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</si>
  <si>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</si>
  <si>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</si>
  <si>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</si>
  <si>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</si>
  <si>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</si>
  <si>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</si>
  <si>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</si>
  <si>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</si>
  <si>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</si>
  <si>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</si>
  <si>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</si>
  <si>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</si>
  <si>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</si>
  <si>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</si>
  <si>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</si>
  <si>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</si>
  <si>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</si>
  <si>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</si>
  <si>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</si>
  <si>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</si>
  <si>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</si>
  <si>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</si>
  <si>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</si>
  <si>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</si>
  <si>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</si>
  <si>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</si>
  <si>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</si>
  <si>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</si>
  <si>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</si>
  <si>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</si>
  <si>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</si>
  <si>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</si>
  <si>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</si>
  <si>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</si>
  <si>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</si>
  <si>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</si>
  <si>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</si>
  <si>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</si>
  <si>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</si>
  <si>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</si>
  <si>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</si>
  <si>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</si>
  <si>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</si>
  <si>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</si>
  <si>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</si>
  <si>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</si>
  <si>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</si>
  <si>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</si>
  <si>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</si>
  <si>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</si>
  <si>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</si>
  <si>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</si>
  <si>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</si>
  <si>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</si>
  <si>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</si>
  <si>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</si>
  <si>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</si>
  <si>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</si>
  <si>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</si>
  <si>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</si>
  <si>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</si>
  <si>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</si>
  <si>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</si>
  <si>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</si>
  <si>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</si>
  <si>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</si>
  <si>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</si>
  <si>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</si>
  <si>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</si>
  <si>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</si>
  <si>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</si>
  <si>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</si>
  <si>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</si>
  <si>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</si>
  <si>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</si>
  <si>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</si>
  <si>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</si>
  <si>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</si>
  <si>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</si>
  <si>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</si>
  <si>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</si>
  <si>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</si>
  <si>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</si>
  <si>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</si>
  <si>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</si>
  <si>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</si>
  <si>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</si>
  <si>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</si>
  <si>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</si>
  <si>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</si>
  <si>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</si>
  <si>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</si>
  <si>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</si>
  <si>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</si>
  <si>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</si>
  <si>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</si>
  <si>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</si>
  <si>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</si>
  <si>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</si>
  <si>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</si>
  <si>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</si>
  <si>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</si>
  <si>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</si>
  <si>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</si>
  <si>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</si>
  <si>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</si>
  <si>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</si>
  <si>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</si>
  <si>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</si>
  <si>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</si>
  <si>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</si>
  <si>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</si>
  <si>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</si>
  <si>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</si>
  <si>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</si>
  <si>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</si>
  <si>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</si>
  <si>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</si>
  <si>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</si>
  <si>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</si>
  <si>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</si>
  <si>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</si>
  <si>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</si>
  <si>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</si>
  <si>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</si>
  <si>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</si>
  <si>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</si>
  <si>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</si>
  <si>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</si>
  <si>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</si>
  <si>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</si>
  <si>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</si>
  <si>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</si>
  <si>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</si>
  <si>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</si>
  <si>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</si>
  <si>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</si>
  <si>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</si>
  <si>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</si>
  <si>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</si>
  <si>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</si>
  <si>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</si>
  <si>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</si>
  <si>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</si>
  <si>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</si>
  <si>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</si>
  <si>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</si>
  <si>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</si>
  <si>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</si>
  <si>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</si>
  <si>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</si>
  <si>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</si>
  <si>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</si>
  <si>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</si>
  <si>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</si>
  <si>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</si>
  <si>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</si>
  <si>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</si>
  <si>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</si>
  <si>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</si>
  <si>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</si>
  <si>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</si>
  <si>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</si>
  <si>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</si>
  <si>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</si>
  <si>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</si>
  <si>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</si>
  <si>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</si>
  <si>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</si>
  <si>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</si>
  <si>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</si>
  <si>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</si>
  <si>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</si>
  <si>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23.1.6</t>
  </si>
  <si>
    <t>реализация электрической энергии и мощности</t>
  </si>
  <si>
    <t>23.1.6.а</t>
  </si>
  <si>
    <t>23.1.7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</si>
  <si>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</si>
  <si>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</si>
  <si>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</si>
  <si>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</si>
  <si>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</si>
  <si>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</si>
  <si>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</si>
  <si>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</si>
  <si>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</si>
  <si>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</si>
  <si>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</si>
  <si>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</si>
  <si>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</si>
  <si>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</si>
  <si>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</si>
  <si>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</si>
  <si>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</si>
  <si>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</si>
  <si>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</si>
  <si>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</si>
  <si>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</si>
  <si>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</si>
  <si>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</si>
  <si>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</si>
  <si>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</si>
  <si>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</si>
  <si>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</si>
  <si>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</si>
  <si>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</si>
  <si>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</si>
  <si>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</si>
  <si>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</si>
  <si>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</si>
  <si>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</si>
  <si>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</si>
  <si>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</si>
  <si>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</si>
  <si>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</si>
  <si>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</si>
  <si>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</si>
  <si>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</si>
  <si>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</si>
  <si>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</si>
  <si>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</si>
  <si>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</si>
  <si>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</si>
  <si>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</si>
  <si>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</si>
  <si>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</si>
  <si>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</si>
  <si>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</si>
  <si>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</si>
  <si>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</si>
  <si>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</si>
  <si>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</si>
  <si>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</si>
  <si>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</si>
  <si>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</si>
  <si>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</si>
  <si>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</si>
  <si>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</si>
  <si>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</si>
  <si>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</si>
  <si>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</si>
  <si>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</si>
  <si>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</si>
  <si>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</si>
  <si>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</si>
  <si>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</si>
  <si>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</si>
  <si>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</si>
  <si>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</si>
  <si>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</si>
  <si>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</si>
  <si>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</si>
  <si>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</si>
  <si>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</si>
  <si>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</si>
  <si>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</si>
  <si>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</si>
  <si>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</si>
  <si>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</si>
  <si>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</si>
  <si>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</si>
  <si>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</si>
  <si>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</si>
  <si>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</si>
  <si>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</si>
  <si>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</si>
  <si>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</si>
  <si>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</si>
  <si>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</si>
  <si>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</si>
  <si>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</si>
  <si>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</si>
  <si>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</si>
  <si>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</si>
  <si>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</si>
  <si>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</si>
  <si>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</si>
  <si>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</si>
  <si>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</si>
  <si>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</si>
  <si>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</si>
  <si>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</si>
  <si>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</si>
  <si>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</si>
  <si>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</si>
  <si>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</si>
  <si>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</si>
  <si>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</si>
  <si>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</si>
  <si>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</si>
  <si>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</si>
  <si>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</si>
  <si>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</si>
  <si>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</si>
  <si>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</si>
  <si>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</si>
  <si>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</si>
  <si>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</si>
  <si>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</si>
  <si>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</si>
  <si>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</si>
  <si>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</si>
  <si>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</si>
  <si>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</si>
  <si>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</si>
  <si>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</si>
  <si>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</si>
  <si>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</si>
  <si>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</si>
  <si>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</si>
  <si>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</si>
  <si>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</si>
  <si>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</si>
  <si>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</si>
  <si>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</si>
  <si>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</si>
  <si>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</si>
  <si>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</si>
  <si>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</si>
  <si>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</si>
  <si>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</si>
  <si>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</si>
  <si>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</si>
  <si>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</si>
  <si>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</si>
  <si>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</si>
  <si>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</si>
  <si>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</si>
  <si>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</si>
  <si>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</si>
  <si>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</si>
  <si>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</si>
  <si>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</si>
  <si>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</si>
  <si>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</si>
  <si>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</si>
  <si>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</si>
  <si>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</si>
  <si>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</si>
  <si>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</si>
  <si>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</si>
  <si>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</si>
  <si>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</si>
  <si>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</si>
  <si>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</si>
  <si>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</si>
  <si>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</si>
  <si>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</si>
  <si>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</si>
  <si>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</si>
  <si>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</si>
  <si>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</si>
  <si>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</si>
  <si>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</si>
  <si>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</si>
  <si>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</si>
  <si>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</si>
  <si>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</si>
  <si>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</si>
  <si>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</si>
  <si>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</si>
  <si>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</si>
  <si>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</si>
  <si>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</si>
  <si>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</si>
  <si>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</si>
  <si>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</si>
  <si>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</si>
  <si>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</si>
  <si>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</si>
  <si>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</si>
  <si>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</si>
  <si>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</si>
  <si>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</si>
  <si>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</si>
  <si>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</si>
  <si>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</si>
  <si>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</si>
  <si>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</si>
  <si>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</si>
  <si>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</si>
  <si>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</si>
  <si>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</si>
  <si>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</si>
  <si>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</si>
  <si>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</si>
  <si>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</si>
  <si>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</si>
  <si>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</si>
  <si>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</si>
  <si>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</si>
  <si>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</si>
  <si>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</si>
  <si>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</si>
  <si>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</si>
  <si>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</si>
  <si>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</si>
  <si>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</si>
  <si>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</si>
  <si>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</si>
  <si>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</si>
  <si>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</si>
  <si>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</si>
  <si>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</si>
  <si>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</si>
  <si>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</si>
  <si>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</si>
  <si>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средства на выполнение программы энергосбережения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</si>
  <si>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</si>
  <si>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</si>
  <si>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</si>
  <si>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</si>
  <si>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</si>
  <si>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</si>
  <si>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</si>
  <si>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</si>
  <si>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</si>
  <si>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</si>
  <si>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</si>
  <si>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</si>
  <si>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</si>
  <si>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</si>
  <si>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</si>
  <si>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</si>
  <si>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</si>
  <si>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</si>
  <si>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</si>
  <si>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</si>
  <si>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</si>
  <si>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</si>
  <si>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</si>
  <si>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</si>
  <si>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</si>
  <si>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</si>
  <si>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</si>
  <si>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</si>
  <si>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</si>
  <si>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</si>
  <si>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План 9 мес.</t>
  </si>
  <si>
    <t>                                                               Год раскрытия информации: 2019 год</t>
  </si>
  <si>
    <t>         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</si>
  <si>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Фактический объем финансирования капитальных вложений на 01.01.2019 год, млн. рублей (с НДС)</t>
  </si>
  <si>
    <t>Остаток финансирования капитальных вложений на 01.01.2019 год в прогнозных ценах соответствующих лет, млн. рублей (с НДС)</t>
  </si>
  <si>
    <t>Финансирование капитальных вложений 2019 года, млн. рублей (с НДС)</t>
  </si>
  <si>
    <t>                                                     за 2019 год</t>
  </si>
  <si>
    <t>          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</si>
  <si>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           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</si>
  <si>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</si>
  <si>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F_SZhO_071</t>
  </si>
  <si>
    <t>Всего (2019 год)</t>
  </si>
  <si>
    <t>Освоение капитальных вложений 2019 года, млн. рублей (без НДС)</t>
  </si>
  <si>
    <t>Фактический объем освоения капитальных вложений на 01.01.2019 года  в прогнозных ценах соответствующих лет, млн. рублей (без НДС)</t>
  </si>
  <si>
    <t>Остаток освоения капитальных вложений на 01.01.2019 года, млн.рублей (без НДС)</t>
  </si>
  <si>
    <t>Принятие основных средств и нематериальных активов к бухгалтерскому учету в 2019 году</t>
  </si>
  <si>
    <t xml:space="preserve">Принятие основных средств и нематериальных активов к бухгалтерскому учету в 2019 году </t>
  </si>
  <si>
    <t>F_SZhO_08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</si>
  <si>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</si>
  <si>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 xml:space="preserve">Ввод объектов инвестиционной деятельности (мощностей) в эксплуатацию в 2019 год </t>
  </si>
  <si>
    <t>Ввод объектов инвестиционной деятельности (мощностей) в эксплуатацию в 2019 году</t>
  </si>
  <si>
    <t xml:space="preserve">Вывод объектов инвестиционной деятельности (мощностей) из эксплуатации в 2019 г. </t>
  </si>
  <si>
    <t>Финансирование капитальных вложений 2019 года. млн. рублей (с НДС)</t>
  </si>
  <si>
    <t>факт на 01.01.2019</t>
  </si>
  <si>
    <t>факт 2018 года (Ha 01.01.2019год)</t>
  </si>
  <si>
    <t>факт  2018 года (на 01.01.2019)</t>
  </si>
  <si>
    <t>факт 2018 года (на 01.01.2019 года)</t>
  </si>
  <si>
    <t>План (год)</t>
  </si>
  <si>
    <t>План                 (год)</t>
  </si>
  <si>
    <t>                                                за 2 квартал 2019 года</t>
  </si>
  <si>
    <t>                                                   за 2 квартал 2019 года</t>
  </si>
  <si>
    <t>                                                              за 2 квартал 2019 год</t>
  </si>
  <si>
    <r>
      <t xml:space="preserve">                    Год раскрытия (предоставления) информации: </t>
    </r>
    <r>
      <rPr>
        <u/>
        <sz val="14"/>
        <color indexed="8"/>
        <rFont val="Times New Roman"/>
        <family val="1"/>
        <charset val="204"/>
      </rPr>
      <t>2019</t>
    </r>
    <r>
      <rPr>
        <sz val="14"/>
        <color indexed="8"/>
        <rFont val="Times New Roman"/>
        <family val="1"/>
        <charset val="204"/>
      </rPr>
      <t xml:space="preserve"> год 2 квартал</t>
    </r>
  </si>
  <si>
    <t>Факт                    (1 полугодие)</t>
  </si>
  <si>
    <t>Факт                   (1 полугодие)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</si>
</sst>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00"/>
    <numFmt numFmtId="166" formatCode="0.0"/>
    <numFmt numFmtId="167" formatCode="_-* #,##0.000_р_._-;\-* #,##0.000_р_._-;_-* &quot;-&quot;???_р_._-;_-@_-"/>
    <numFmt numFmtId="168" formatCode="_-* #,##0_р_._-;\-* #,##0_р_._-;_-* &quot;-&quot;???_р_._-;_-@_-"/>
    <numFmt numFmtId="169" formatCode="#,##0.000_ ;\-#,##0.000\ "/>
    <numFmt numFmtId="170" formatCode="_-* #,##0.000_р_._-;\-* #,##0.000_р_._-;_-* &quot;-&quot;??_р_._-;_-@_-"/>
    <numFmt numFmtId="171" formatCode="#,##0_ ;\-#,##0\ "/>
    <numFmt numFmtId="172" formatCode="_-* #,##0_р_._-;\-* #,##0_р_._-;_-* &quot;-&quot;??_р_._-;_-@_-"/>
    <numFmt numFmtId="173" formatCode="0.0%"/>
  </numFmts>
  <fonts count="4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222222"/>
      <name val="Inherit"/>
    </font>
    <font>
      <b/>
      <sz val="11"/>
      <color rgb="FF222222"/>
      <name val="Inherit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 CYR"/>
    </font>
    <font>
      <b/>
      <sz val="12"/>
      <name val="Times New Roman CYR"/>
    </font>
    <font>
      <b/>
      <sz val="10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46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4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Alignment="1">
      <alignment horizontal="left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/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/>
    <xf numFmtId="165" fontId="8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14" xfId="0" applyFont="1" applyBorder="1"/>
    <xf numFmtId="49" fontId="15" fillId="3" borderId="20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 wrapText="1"/>
    </xf>
    <xf numFmtId="49" fontId="17" fillId="3" borderId="21" xfId="2" applyNumberFormat="1" applyFont="1" applyFill="1" applyBorder="1" applyAlignment="1">
      <alignment horizontal="left" vertical="center"/>
    </xf>
    <xf numFmtId="0" fontId="17" fillId="3" borderId="21" xfId="2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17" fillId="3" borderId="21" xfId="2" applyNumberFormat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4" fontId="18" fillId="3" borderId="23" xfId="2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7" fillId="3" borderId="21" xfId="2" applyFont="1" applyFill="1" applyBorder="1" applyAlignment="1">
      <alignment horizontal="center" vertical="center" wrapText="1"/>
    </xf>
    <xf numFmtId="165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5" fillId="3" borderId="21" xfId="2" applyNumberFormat="1" applyFont="1" applyFill="1" applyBorder="1" applyAlignment="1">
      <alignment horizontal="center" vertical="center"/>
    </xf>
    <xf numFmtId="2" fontId="0" fillId="0" borderId="1" xfId="0" applyNumberFormat="1" applyBorder="1"/>
    <xf numFmtId="166" fontId="0" fillId="0" borderId="1" xfId="0" applyNumberFormat="1" applyBorder="1"/>
    <xf numFmtId="1" fontId="8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65" fontId="8" fillId="0" borderId="1" xfId="0" applyNumberFormat="1" applyFont="1" applyBorder="1"/>
    <xf numFmtId="0" fontId="0" fillId="0" borderId="1" xfId="0" applyFont="1" applyBorder="1"/>
    <xf numFmtId="49" fontId="17" fillId="0" borderId="8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/>
    <xf numFmtId="49" fontId="17" fillId="0" borderId="1" xfId="0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/>
    </xf>
    <xf numFmtId="165" fontId="23" fillId="0" borderId="1" xfId="0" applyNumberFormat="1" applyFont="1" applyBorder="1" applyAlignment="1">
      <alignment horizontal="right" wrapText="1"/>
    </xf>
    <xf numFmtId="165" fontId="24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 wrapText="1"/>
    </xf>
    <xf numFmtId="0" fontId="8" fillId="0" borderId="14" xfId="0" applyFont="1" applyBorder="1"/>
    <xf numFmtId="165" fontId="0" fillId="0" borderId="1" xfId="0" applyNumberForma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18" fillId="3" borderId="1" xfId="0" applyFont="1" applyFill="1" applyBorder="1" applyAlignment="1">
      <alignment horizontal="center" vertical="center"/>
    </xf>
    <xf numFmtId="49" fontId="13" fillId="0" borderId="0" xfId="5" applyNumberFormat="1" applyFont="1" applyFill="1" applyAlignment="1">
      <alignment horizontal="center" vertical="center"/>
    </xf>
    <xf numFmtId="0" fontId="18" fillId="0" borderId="0" xfId="5" applyFont="1" applyFill="1" applyAlignment="1">
      <alignment wrapText="1"/>
    </xf>
    <xf numFmtId="0" fontId="13" fillId="0" borderId="0" xfId="5" applyFont="1" applyFill="1" applyAlignment="1">
      <alignment horizontal="center" vertical="center" wrapText="1"/>
    </xf>
    <xf numFmtId="0" fontId="18" fillId="0" borderId="0" xfId="5" applyFont="1" applyFill="1" applyAlignment="1">
      <alignment horizontal="center" vertical="center" wrapText="1"/>
    </xf>
    <xf numFmtId="0" fontId="18" fillId="0" borderId="0" xfId="5" applyFont="1" applyFill="1"/>
    <xf numFmtId="0" fontId="9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justify" vertical="center"/>
    </xf>
    <xf numFmtId="0" fontId="31" fillId="0" borderId="27" xfId="5" applyFont="1" applyFill="1" applyBorder="1" applyAlignment="1">
      <alignment horizontal="center" vertical="center" wrapText="1"/>
    </xf>
    <xf numFmtId="0" fontId="31" fillId="0" borderId="25" xfId="5" applyFont="1" applyFill="1" applyBorder="1" applyAlignment="1">
      <alignment horizontal="center" vertical="center" wrapText="1"/>
    </xf>
    <xf numFmtId="0" fontId="32" fillId="0" borderId="7" xfId="5" applyFont="1" applyFill="1" applyBorder="1" applyAlignment="1">
      <alignment horizontal="center" vertical="center" wrapText="1"/>
    </xf>
    <xf numFmtId="0" fontId="32" fillId="0" borderId="1" xfId="5" applyFont="1" applyFill="1" applyBorder="1" applyAlignment="1">
      <alignment horizontal="center" vertical="center" wrapText="1"/>
    </xf>
    <xf numFmtId="49" fontId="33" fillId="0" borderId="8" xfId="5" applyNumberFormat="1" applyFont="1" applyFill="1" applyBorder="1" applyAlignment="1">
      <alignment horizontal="center" vertical="center"/>
    </xf>
    <xf numFmtId="0" fontId="33" fillId="0" borderId="8" xfId="5" applyFont="1" applyFill="1" applyBorder="1" applyAlignment="1">
      <alignment horizontal="center" vertical="center" wrapText="1"/>
    </xf>
    <xf numFmtId="0" fontId="33" fillId="0" borderId="33" xfId="5" applyFont="1" applyFill="1" applyBorder="1" applyAlignment="1">
      <alignment horizontal="center" vertical="center" wrapText="1"/>
    </xf>
    <xf numFmtId="0" fontId="18" fillId="0" borderId="0" xfId="5" applyFont="1" applyFill="1" applyAlignment="1">
      <alignment vertical="center"/>
    </xf>
    <xf numFmtId="49" fontId="13" fillId="0" borderId="24" xfId="0" applyNumberFormat="1" applyFont="1" applyFill="1" applyBorder="1" applyAlignment="1"/>
    <xf numFmtId="0" fontId="18" fillId="0" borderId="25" xfId="0" applyFont="1" applyFill="1" applyBorder="1" applyAlignment="1">
      <alignment wrapText="1"/>
    </xf>
    <xf numFmtId="49" fontId="13" fillId="0" borderId="31" xfId="0" applyNumberFormat="1" applyFont="1" applyFill="1" applyBorder="1" applyAlignment="1"/>
    <xf numFmtId="0" fontId="18" fillId="0" borderId="1" xfId="5" applyFont="1" applyFill="1" applyBorder="1" applyAlignment="1"/>
    <xf numFmtId="0" fontId="13" fillId="0" borderId="32" xfId="5" applyFont="1" applyFill="1" applyBorder="1" applyAlignment="1"/>
    <xf numFmtId="164" fontId="19" fillId="0" borderId="1" xfId="3" applyFont="1" applyFill="1" applyBorder="1" applyAlignment="1"/>
    <xf numFmtId="169" fontId="35" fillId="0" borderId="32" xfId="0" applyNumberFormat="1" applyFont="1" applyFill="1" applyBorder="1" applyAlignment="1">
      <alignment vertical="center" wrapText="1"/>
    </xf>
    <xf numFmtId="164" fontId="18" fillId="0" borderId="1" xfId="3" applyFont="1" applyFill="1" applyBorder="1" applyAlignment="1"/>
    <xf numFmtId="0" fontId="35" fillId="0" borderId="1" xfId="0" applyFont="1" applyFill="1" applyBorder="1" applyAlignment="1"/>
    <xf numFmtId="0" fontId="19" fillId="0" borderId="1" xfId="0" applyFont="1" applyFill="1" applyBorder="1" applyAlignment="1"/>
    <xf numFmtId="165" fontId="19" fillId="0" borderId="1" xfId="0" applyNumberFormat="1" applyFont="1" applyFill="1" applyBorder="1" applyAlignment="1"/>
    <xf numFmtId="9" fontId="19" fillId="0" borderId="1" xfId="4" applyFont="1" applyFill="1" applyBorder="1" applyAlignment="1"/>
    <xf numFmtId="1" fontId="19" fillId="0" borderId="1" xfId="0" applyNumberFormat="1" applyFont="1" applyFill="1" applyBorder="1" applyAlignment="1"/>
    <xf numFmtId="164" fontId="19" fillId="0" borderId="32" xfId="3" applyFont="1" applyFill="1" applyBorder="1" applyAlignment="1"/>
    <xf numFmtId="49" fontId="13" fillId="0" borderId="36" xfId="0" applyNumberFormat="1" applyFont="1" applyFill="1" applyBorder="1" applyAlignment="1"/>
    <xf numFmtId="0" fontId="18" fillId="0" borderId="37" xfId="5" applyFont="1" applyFill="1" applyBorder="1" applyAlignment="1"/>
    <xf numFmtId="0" fontId="13" fillId="0" borderId="33" xfId="5" applyFont="1" applyFill="1" applyBorder="1" applyAlignment="1"/>
    <xf numFmtId="0" fontId="19" fillId="0" borderId="37" xfId="0" applyFont="1" applyFill="1" applyBorder="1" applyAlignment="1"/>
    <xf numFmtId="167" fontId="19" fillId="0" borderId="37" xfId="3" applyNumberFormat="1" applyFont="1" applyFill="1" applyBorder="1" applyAlignment="1"/>
    <xf numFmtId="169" fontId="19" fillId="0" borderId="37" xfId="3" applyNumberFormat="1" applyFont="1" applyFill="1" applyBorder="1" applyAlignment="1"/>
    <xf numFmtId="0" fontId="35" fillId="0" borderId="37" xfId="0" applyFont="1" applyFill="1" applyBorder="1" applyAlignment="1"/>
    <xf numFmtId="0" fontId="13" fillId="0" borderId="39" xfId="5" applyFont="1" applyFill="1" applyBorder="1" applyAlignment="1"/>
    <xf numFmtId="165" fontId="35" fillId="0" borderId="3" xfId="0" applyNumberFormat="1" applyFont="1" applyFill="1" applyBorder="1" applyAlignment="1"/>
    <xf numFmtId="165" fontId="35" fillId="0" borderId="1" xfId="0" applyNumberFormat="1" applyFont="1" applyFill="1" applyBorder="1" applyAlignment="1"/>
    <xf numFmtId="169" fontId="35" fillId="0" borderId="1" xfId="0" applyNumberFormat="1" applyFont="1" applyFill="1" applyBorder="1" applyAlignment="1"/>
    <xf numFmtId="170" fontId="19" fillId="0" borderId="1" xfId="3" applyNumberFormat="1" applyFont="1" applyFill="1" applyBorder="1" applyAlignment="1"/>
    <xf numFmtId="0" fontId="18" fillId="0" borderId="1" xfId="0" applyFont="1" applyFill="1" applyBorder="1" applyAlignment="1">
      <alignment wrapText="1"/>
    </xf>
    <xf numFmtId="49" fontId="13" fillId="0" borderId="40" xfId="0" applyNumberFormat="1" applyFont="1" applyFill="1" applyBorder="1" applyAlignment="1"/>
    <xf numFmtId="0" fontId="18" fillId="0" borderId="8" xfId="5" applyFont="1" applyFill="1" applyBorder="1" applyAlignment="1"/>
    <xf numFmtId="0" fontId="13" fillId="0" borderId="41" xfId="5" applyFont="1" applyFill="1" applyBorder="1" applyAlignment="1"/>
    <xf numFmtId="164" fontId="19" fillId="0" borderId="37" xfId="3" applyFont="1" applyFill="1" applyBorder="1" applyAlignment="1"/>
    <xf numFmtId="167" fontId="35" fillId="0" borderId="1" xfId="0" applyNumberFormat="1" applyFont="1" applyFill="1" applyBorder="1" applyAlignment="1"/>
    <xf numFmtId="164" fontId="19" fillId="0" borderId="1" xfId="3" applyFont="1" applyFill="1" applyBorder="1" applyAlignment="1">
      <alignment vertical="center"/>
    </xf>
    <xf numFmtId="167" fontId="35" fillId="0" borderId="1" xfId="0" applyNumberFormat="1" applyFont="1" applyFill="1" applyBorder="1" applyAlignment="1">
      <alignment vertical="center"/>
    </xf>
    <xf numFmtId="164" fontId="35" fillId="0" borderId="1" xfId="0" applyNumberFormat="1" applyFont="1" applyFill="1" applyBorder="1" applyAlignment="1"/>
    <xf numFmtId="2" fontId="35" fillId="0" borderId="1" xfId="0" applyNumberFormat="1" applyFont="1" applyFill="1" applyBorder="1" applyAlignment="1"/>
    <xf numFmtId="2" fontId="19" fillId="0" borderId="1" xfId="3" applyNumberFormat="1" applyFont="1" applyFill="1" applyBorder="1" applyAlignment="1"/>
    <xf numFmtId="171" fontId="35" fillId="0" borderId="1" xfId="0" applyNumberFormat="1" applyFont="1" applyFill="1" applyBorder="1" applyAlignment="1"/>
    <xf numFmtId="0" fontId="18" fillId="0" borderId="37" xfId="0" applyFont="1" applyFill="1" applyBorder="1" applyAlignment="1">
      <alignment wrapText="1"/>
    </xf>
    <xf numFmtId="170" fontId="35" fillId="0" borderId="1" xfId="0" applyNumberFormat="1" applyFont="1" applyFill="1" applyBorder="1" applyAlignment="1"/>
    <xf numFmtId="0" fontId="19" fillId="0" borderId="1" xfId="3" applyNumberFormat="1" applyFont="1" applyFill="1" applyBorder="1" applyAlignment="1"/>
    <xf numFmtId="0" fontId="18" fillId="0" borderId="8" xfId="0" applyFont="1" applyFill="1" applyBorder="1" applyAlignment="1">
      <alignment wrapText="1"/>
    </xf>
    <xf numFmtId="166" fontId="35" fillId="0" borderId="1" xfId="0" applyNumberFormat="1" applyFont="1" applyFill="1" applyBorder="1" applyAlignment="1"/>
    <xf numFmtId="9" fontId="35" fillId="0" borderId="1" xfId="4" applyFont="1" applyFill="1" applyBorder="1" applyAlignment="1"/>
    <xf numFmtId="9" fontId="35" fillId="0" borderId="1" xfId="0" applyNumberFormat="1" applyFont="1" applyFill="1" applyBorder="1" applyAlignment="1"/>
    <xf numFmtId="0" fontId="18" fillId="0" borderId="25" xfId="5" applyFont="1" applyFill="1" applyBorder="1" applyAlignment="1">
      <alignment wrapText="1"/>
    </xf>
    <xf numFmtId="0" fontId="18" fillId="0" borderId="28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8" fillId="0" borderId="32" xfId="5" applyFont="1" applyFill="1" applyBorder="1" applyAlignment="1">
      <alignment wrapText="1"/>
    </xf>
    <xf numFmtId="0" fontId="13" fillId="0" borderId="7" xfId="5" applyFont="1" applyFill="1" applyBorder="1" applyAlignment="1">
      <alignment wrapText="1"/>
    </xf>
    <xf numFmtId="0" fontId="13" fillId="0" borderId="1" xfId="5" applyFont="1" applyFill="1" applyBorder="1" applyAlignment="1">
      <alignment wrapText="1"/>
    </xf>
    <xf numFmtId="49" fontId="37" fillId="0" borderId="36" xfId="5" applyNumberFormat="1" applyFont="1" applyFill="1" applyBorder="1" applyAlignment="1"/>
    <xf numFmtId="0" fontId="37" fillId="0" borderId="37" xfId="5" applyFont="1" applyFill="1" applyBorder="1" applyAlignment="1">
      <alignment wrapText="1"/>
    </xf>
    <xf numFmtId="0" fontId="37" fillId="0" borderId="33" xfId="5" applyFont="1" applyFill="1" applyBorder="1" applyAlignment="1">
      <alignment wrapText="1"/>
    </xf>
    <xf numFmtId="0" fontId="37" fillId="0" borderId="37" xfId="5" applyFont="1" applyFill="1" applyBorder="1" applyAlignment="1"/>
    <xf numFmtId="165" fontId="18" fillId="0" borderId="3" xfId="5" applyNumberFormat="1" applyFont="1" applyFill="1" applyBorder="1" applyAlignment="1">
      <alignment wrapText="1"/>
    </xf>
    <xf numFmtId="165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/>
    <xf numFmtId="165" fontId="18" fillId="0" borderId="1" xfId="0" applyNumberFormat="1" applyFont="1" applyFill="1" applyBorder="1" applyAlignment="1"/>
    <xf numFmtId="0" fontId="18" fillId="0" borderId="1" xfId="0" applyNumberFormat="1" applyFont="1" applyFill="1" applyBorder="1" applyAlignment="1">
      <alignment wrapText="1"/>
    </xf>
    <xf numFmtId="0" fontId="36" fillId="0" borderId="1" xfId="0" applyNumberFormat="1" applyFont="1" applyFill="1" applyBorder="1" applyAlignment="1">
      <alignment wrapText="1"/>
    </xf>
    <xf numFmtId="164" fontId="18" fillId="0" borderId="1" xfId="5" applyNumberFormat="1" applyFont="1" applyFill="1" applyBorder="1" applyAlignment="1">
      <alignment wrapText="1"/>
    </xf>
    <xf numFmtId="170" fontId="18" fillId="0" borderId="1" xfId="5" applyNumberFormat="1" applyFont="1" applyFill="1" applyBorder="1" applyAlignment="1">
      <alignment wrapText="1"/>
    </xf>
    <xf numFmtId="172" fontId="18" fillId="0" borderId="1" xfId="5" applyNumberFormat="1" applyFont="1" applyFill="1" applyBorder="1" applyAlignment="1">
      <alignment wrapText="1"/>
    </xf>
    <xf numFmtId="165" fontId="18" fillId="0" borderId="1" xfId="5" applyNumberFormat="1" applyFont="1" applyFill="1" applyBorder="1" applyAlignment="1">
      <alignment wrapText="1"/>
    </xf>
    <xf numFmtId="0" fontId="38" fillId="0" borderId="0" xfId="6" applyFont="1" applyFill="1" applyAlignment="1">
      <alignment vertical="center" wrapText="1"/>
    </xf>
    <xf numFmtId="0" fontId="26" fillId="0" borderId="0" xfId="0" applyFont="1" applyFill="1" applyAlignment="1">
      <alignment horizontal="justify"/>
    </xf>
    <xf numFmtId="0" fontId="39" fillId="0" borderId="0" xfId="7" applyFont="1" applyFill="1" applyAlignment="1">
      <alignment vertical="center"/>
    </xf>
    <xf numFmtId="0" fontId="13" fillId="0" borderId="26" xfId="5" applyFont="1" applyFill="1" applyBorder="1" applyAlignment="1">
      <alignment wrapText="1"/>
    </xf>
    <xf numFmtId="0" fontId="18" fillId="0" borderId="24" xfId="5" applyFont="1" applyFill="1" applyBorder="1" applyAlignment="1">
      <alignment wrapText="1"/>
    </xf>
    <xf numFmtId="0" fontId="18" fillId="0" borderId="25" xfId="5" applyFont="1" applyFill="1" applyBorder="1" applyAlignment="1"/>
    <xf numFmtId="49" fontId="13" fillId="0" borderId="31" xfId="5" applyNumberFormat="1" applyFont="1" applyFill="1" applyBorder="1" applyAlignment="1"/>
    <xf numFmtId="0" fontId="18" fillId="0" borderId="31" xfId="5" applyFont="1" applyFill="1" applyBorder="1" applyAlignment="1">
      <alignment wrapText="1"/>
    </xf>
    <xf numFmtId="0" fontId="13" fillId="0" borderId="32" xfId="5" applyFont="1" applyFill="1" applyBorder="1" applyAlignment="1">
      <alignment wrapText="1"/>
    </xf>
    <xf numFmtId="49" fontId="13" fillId="0" borderId="36" xfId="5" applyNumberFormat="1" applyFont="1" applyFill="1" applyBorder="1" applyAlignment="1"/>
    <xf numFmtId="0" fontId="18" fillId="0" borderId="37" xfId="5" applyFont="1" applyFill="1" applyBorder="1" applyAlignment="1">
      <alignment wrapText="1"/>
    </xf>
    <xf numFmtId="0" fontId="18" fillId="0" borderId="36" xfId="5" applyFont="1" applyFill="1" applyBorder="1" applyAlignment="1">
      <alignment wrapText="1"/>
    </xf>
    <xf numFmtId="49" fontId="32" fillId="0" borderId="4" xfId="5" applyNumberFormat="1" applyFont="1" applyFill="1" applyBorder="1" applyAlignment="1">
      <alignment horizontal="left" vertical="center"/>
    </xf>
    <xf numFmtId="49" fontId="13" fillId="0" borderId="0" xfId="5" applyNumberFormat="1" applyFont="1" applyFill="1" applyAlignment="1">
      <alignment horizontal="left" vertical="center"/>
    </xf>
    <xf numFmtId="49" fontId="13" fillId="6" borderId="38" xfId="0" applyNumberFormat="1" applyFont="1" applyFill="1" applyBorder="1" applyAlignment="1"/>
    <xf numFmtId="0" fontId="18" fillId="6" borderId="3" xfId="0" applyFont="1" applyFill="1" applyBorder="1" applyAlignment="1">
      <alignment wrapText="1"/>
    </xf>
    <xf numFmtId="0" fontId="13" fillId="6" borderId="39" xfId="5" applyFont="1" applyFill="1" applyBorder="1" applyAlignment="1"/>
    <xf numFmtId="165" fontId="35" fillId="6" borderId="3" xfId="0" applyNumberFormat="1" applyFont="1" applyFill="1" applyBorder="1" applyAlignment="1"/>
    <xf numFmtId="165" fontId="19" fillId="6" borderId="25" xfId="0" applyNumberFormat="1" applyFont="1" applyFill="1" applyBorder="1" applyAlignment="1"/>
    <xf numFmtId="9" fontId="19" fillId="6" borderId="25" xfId="4" applyFont="1" applyFill="1" applyBorder="1" applyAlignment="1"/>
    <xf numFmtId="49" fontId="13" fillId="6" borderId="24" xfId="0" applyNumberFormat="1" applyFont="1" applyFill="1" applyBorder="1" applyAlignment="1"/>
    <xf numFmtId="0" fontId="18" fillId="6" borderId="25" xfId="0" applyFont="1" applyFill="1" applyBorder="1" applyAlignment="1">
      <alignment wrapText="1"/>
    </xf>
    <xf numFmtId="0" fontId="13" fillId="6" borderId="26" xfId="5" applyFont="1" applyFill="1" applyBorder="1" applyAlignment="1"/>
    <xf numFmtId="0" fontId="19" fillId="6" borderId="25" xfId="0" applyFont="1" applyFill="1" applyBorder="1" applyAlignment="1"/>
    <xf numFmtId="169" fontId="19" fillId="6" borderId="25" xfId="3" applyNumberFormat="1" applyFont="1" applyFill="1" applyBorder="1" applyAlignment="1"/>
    <xf numFmtId="169" fontId="18" fillId="6" borderId="25" xfId="3" applyNumberFormat="1" applyFont="1" applyFill="1" applyBorder="1" applyAlignment="1"/>
    <xf numFmtId="49" fontId="13" fillId="6" borderId="31" xfId="0" applyNumberFormat="1" applyFont="1" applyFill="1" applyBorder="1" applyAlignment="1"/>
    <xf numFmtId="0" fontId="18" fillId="6" borderId="1" xfId="0" applyFont="1" applyFill="1" applyBorder="1" applyAlignment="1">
      <alignment wrapText="1"/>
    </xf>
    <xf numFmtId="0" fontId="13" fillId="6" borderId="32" xfId="5" applyFont="1" applyFill="1" applyBorder="1" applyAlignment="1"/>
    <xf numFmtId="0" fontId="35" fillId="6" borderId="1" xfId="0" applyFont="1" applyFill="1" applyBorder="1" applyAlignment="1"/>
    <xf numFmtId="165" fontId="19" fillId="6" borderId="1" xfId="0" applyNumberFormat="1" applyFont="1" applyFill="1" applyBorder="1" applyAlignment="1"/>
    <xf numFmtId="9" fontId="19" fillId="6" borderId="1" xfId="4" applyFont="1" applyFill="1" applyBorder="1" applyAlignment="1"/>
    <xf numFmtId="165" fontId="35" fillId="6" borderId="1" xfId="0" applyNumberFormat="1" applyFont="1" applyFill="1" applyBorder="1" applyAlignment="1"/>
    <xf numFmtId="164" fontId="35" fillId="6" borderId="25" xfId="0" applyNumberFormat="1" applyFont="1" applyFill="1" applyBorder="1" applyAlignment="1"/>
    <xf numFmtId="170" fontId="35" fillId="6" borderId="25" xfId="0" applyNumberFormat="1" applyFont="1" applyFill="1" applyBorder="1" applyAlignment="1"/>
    <xf numFmtId="0" fontId="35" fillId="6" borderId="25" xfId="0" applyFont="1" applyFill="1" applyBorder="1" applyAlignment="1"/>
    <xf numFmtId="164" fontId="19" fillId="6" borderId="1" xfId="3" applyFont="1" applyFill="1" applyBorder="1" applyAlignment="1"/>
    <xf numFmtId="0" fontId="35" fillId="6" borderId="3" xfId="0" applyFont="1" applyFill="1" applyBorder="1" applyAlignment="1"/>
    <xf numFmtId="0" fontId="35" fillId="6" borderId="32" xfId="0" applyFont="1" applyFill="1" applyBorder="1" applyAlignment="1"/>
    <xf numFmtId="49" fontId="13" fillId="6" borderId="36" xfId="0" applyNumberFormat="1" applyFont="1" applyFill="1" applyBorder="1" applyAlignment="1"/>
    <xf numFmtId="0" fontId="18" fillId="6" borderId="37" xfId="0" applyFont="1" applyFill="1" applyBorder="1" applyAlignment="1">
      <alignment wrapText="1"/>
    </xf>
    <xf numFmtId="0" fontId="13" fillId="6" borderId="33" xfId="5" applyFont="1" applyFill="1" applyBorder="1" applyAlignment="1"/>
    <xf numFmtId="0" fontId="35" fillId="6" borderId="37" xfId="0" applyFont="1" applyFill="1" applyBorder="1" applyAlignment="1"/>
    <xf numFmtId="172" fontId="19" fillId="6" borderId="37" xfId="3" applyNumberFormat="1" applyFont="1" applyFill="1" applyBorder="1" applyAlignment="1"/>
    <xf numFmtId="165" fontId="19" fillId="0" borderId="8" xfId="0" applyNumberFormat="1" applyFont="1" applyFill="1" applyBorder="1" applyAlignment="1"/>
    <xf numFmtId="164" fontId="19" fillId="0" borderId="7" xfId="3" applyFont="1" applyFill="1" applyBorder="1" applyAlignment="1"/>
    <xf numFmtId="164" fontId="19" fillId="0" borderId="45" xfId="3" applyFont="1" applyFill="1" applyBorder="1" applyAlignment="1"/>
    <xf numFmtId="0" fontId="35" fillId="5" borderId="1" xfId="0" applyFont="1" applyFill="1" applyBorder="1" applyAlignment="1"/>
    <xf numFmtId="165" fontId="36" fillId="0" borderId="1" xfId="0" applyNumberFormat="1" applyFont="1" applyFill="1" applyBorder="1" applyAlignment="1">
      <alignment wrapText="1"/>
    </xf>
    <xf numFmtId="165" fontId="0" fillId="0" borderId="1" xfId="0" applyNumberFormat="1" applyFont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0" fontId="0" fillId="0" borderId="14" xfId="0" applyBorder="1"/>
    <xf numFmtId="169" fontId="35" fillId="6" borderId="26" xfId="0" applyNumberFormat="1" applyFont="1" applyFill="1" applyBorder="1" applyAlignment="1">
      <alignment horizontal="center" vertical="center" wrapText="1"/>
    </xf>
    <xf numFmtId="165" fontId="19" fillId="6" borderId="30" xfId="0" applyNumberFormat="1" applyFont="1" applyFill="1" applyBorder="1" applyAlignment="1"/>
    <xf numFmtId="9" fontId="19" fillId="6" borderId="30" xfId="4" applyFont="1" applyFill="1" applyBorder="1" applyAlignment="1"/>
    <xf numFmtId="169" fontId="35" fillId="6" borderId="46" xfId="0" applyNumberFormat="1" applyFont="1" applyFill="1" applyBorder="1" applyAlignment="1">
      <alignment horizontal="center" vertical="center" wrapText="1"/>
    </xf>
    <xf numFmtId="165" fontId="19" fillId="6" borderId="8" xfId="0" applyNumberFormat="1" applyFont="1" applyFill="1" applyBorder="1" applyAlignment="1"/>
    <xf numFmtId="9" fontId="19" fillId="6" borderId="8" xfId="4" applyFont="1" applyFill="1" applyBorder="1" applyAlignment="1"/>
    <xf numFmtId="169" fontId="35" fillId="0" borderId="32" xfId="0" applyNumberFormat="1" applyFont="1" applyFill="1" applyBorder="1" applyAlignment="1">
      <alignment horizontal="center" vertical="center" wrapText="1"/>
    </xf>
    <xf numFmtId="169" fontId="35" fillId="0" borderId="47" xfId="0" applyNumberFormat="1" applyFont="1" applyFill="1" applyBorder="1" applyAlignment="1">
      <alignment vertical="center" wrapText="1"/>
    </xf>
    <xf numFmtId="169" fontId="35" fillId="0" borderId="32" xfId="0" applyNumberFormat="1" applyFont="1" applyFill="1" applyBorder="1" applyAlignment="1"/>
    <xf numFmtId="169" fontId="35" fillId="6" borderId="41" xfId="0" applyNumberFormat="1" applyFont="1" applyFill="1" applyBorder="1" applyAlignment="1">
      <alignment horizontal="center" vertical="center" wrapText="1"/>
    </xf>
    <xf numFmtId="169" fontId="35" fillId="6" borderId="32" xfId="0" applyNumberFormat="1" applyFont="1" applyFill="1" applyBorder="1" applyAlignment="1">
      <alignment horizontal="center" vertical="center" wrapText="1"/>
    </xf>
    <xf numFmtId="0" fontId="35" fillId="6" borderId="26" xfId="0" applyFont="1" applyFill="1" applyBorder="1" applyAlignment="1"/>
    <xf numFmtId="164" fontId="19" fillId="0" borderId="33" xfId="3" applyFont="1" applyFill="1" applyBorder="1" applyAlignment="1"/>
    <xf numFmtId="164" fontId="19" fillId="6" borderId="32" xfId="3" applyFont="1" applyFill="1" applyBorder="1" applyAlignment="1"/>
    <xf numFmtId="0" fontId="35" fillId="0" borderId="33" xfId="0" applyFont="1" applyFill="1" applyBorder="1" applyAlignment="1"/>
    <xf numFmtId="169" fontId="35" fillId="0" borderId="32" xfId="0" applyNumberFormat="1" applyFont="1" applyFill="1" applyBorder="1" applyAlignment="1">
      <alignment horizontal="center" wrapText="1"/>
    </xf>
    <xf numFmtId="169" fontId="35" fillId="6" borderId="32" xfId="0" applyNumberFormat="1" applyFont="1" applyFill="1" applyBorder="1" applyAlignment="1"/>
    <xf numFmtId="171" fontId="35" fillId="0" borderId="32" xfId="0" applyNumberFormat="1" applyFont="1" applyFill="1" applyBorder="1" applyAlignment="1"/>
    <xf numFmtId="9" fontId="35" fillId="0" borderId="32" xfId="4" applyFont="1" applyFill="1" applyBorder="1" applyAlignment="1"/>
    <xf numFmtId="0" fontId="35" fillId="6" borderId="39" xfId="0" applyFont="1" applyFill="1" applyBorder="1" applyAlignment="1"/>
    <xf numFmtId="0" fontId="35" fillId="0" borderId="32" xfId="0" applyFont="1" applyFill="1" applyBorder="1" applyAlignment="1"/>
    <xf numFmtId="172" fontId="19" fillId="6" borderId="33" xfId="3" applyNumberFormat="1" applyFont="1" applyFill="1" applyBorder="1" applyAlignment="1"/>
    <xf numFmtId="0" fontId="37" fillId="0" borderId="33" xfId="5" applyFont="1" applyFill="1" applyBorder="1" applyAlignment="1"/>
    <xf numFmtId="0" fontId="36" fillId="0" borderId="32" xfId="0" applyNumberFormat="1" applyFont="1" applyFill="1" applyBorder="1" applyAlignment="1">
      <alignment wrapText="1"/>
    </xf>
    <xf numFmtId="0" fontId="18" fillId="0" borderId="32" xfId="0" applyNumberFormat="1" applyFont="1" applyFill="1" applyBorder="1" applyAlignment="1">
      <alignment wrapText="1"/>
    </xf>
    <xf numFmtId="170" fontId="18" fillId="0" borderId="32" xfId="5" applyNumberFormat="1" applyFont="1" applyFill="1" applyBorder="1" applyAlignment="1">
      <alignment wrapText="1"/>
    </xf>
    <xf numFmtId="172" fontId="18" fillId="0" borderId="32" xfId="5" applyNumberFormat="1" applyFont="1" applyFill="1" applyBorder="1" applyAlignment="1">
      <alignment wrapText="1"/>
    </xf>
    <xf numFmtId="0" fontId="18" fillId="0" borderId="33" xfId="5" applyFont="1" applyFill="1" applyBorder="1" applyAlignment="1">
      <alignment wrapText="1"/>
    </xf>
    <xf numFmtId="0" fontId="18" fillId="0" borderId="26" xfId="5" applyFont="1" applyFill="1" applyBorder="1" applyAlignment="1"/>
    <xf numFmtId="1" fontId="19" fillId="6" borderId="37" xfId="0" applyNumberFormat="1" applyFont="1" applyFill="1" applyBorder="1" applyAlignment="1"/>
    <xf numFmtId="9" fontId="19" fillId="6" borderId="37" xfId="4" applyFont="1" applyFill="1" applyBorder="1" applyAlignment="1"/>
    <xf numFmtId="9" fontId="19" fillId="0" borderId="8" xfId="4" applyFont="1" applyFill="1" applyBorder="1" applyAlignment="1"/>
    <xf numFmtId="169" fontId="35" fillId="0" borderId="41" xfId="0" applyNumberFormat="1" applyFont="1" applyFill="1" applyBorder="1" applyAlignment="1">
      <alignment horizontal="center" vertical="center" wrapText="1"/>
    </xf>
    <xf numFmtId="165" fontId="35" fillId="0" borderId="37" xfId="0" applyNumberFormat="1" applyFont="1" applyFill="1" applyBorder="1" applyAlignment="1"/>
    <xf numFmtId="165" fontId="35" fillId="0" borderId="8" xfId="0" applyNumberFormat="1" applyFont="1" applyFill="1" applyBorder="1" applyAlignment="1"/>
    <xf numFmtId="0" fontId="13" fillId="0" borderId="26" xfId="5" applyFont="1" applyFill="1" applyBorder="1" applyAlignment="1"/>
    <xf numFmtId="0" fontId="35" fillId="0" borderId="3" xfId="0" applyFont="1" applyFill="1" applyBorder="1" applyAlignment="1"/>
    <xf numFmtId="0" fontId="35" fillId="0" borderId="25" xfId="0" applyFont="1" applyFill="1" applyBorder="1" applyAlignment="1"/>
    <xf numFmtId="0" fontId="35" fillId="0" borderId="26" xfId="0" applyFont="1" applyFill="1" applyBorder="1" applyAlignment="1"/>
    <xf numFmtId="170" fontId="18" fillId="0" borderId="1" xfId="5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15" fillId="3" borderId="21" xfId="2" applyFont="1" applyFill="1" applyBorder="1" applyAlignment="1">
      <alignment horizontal="center" vertical="center" wrapText="1"/>
    </xf>
    <xf numFmtId="4" fontId="10" fillId="3" borderId="23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5" borderId="1" xfId="0" applyFont="1" applyFill="1" applyBorder="1"/>
    <xf numFmtId="165" fontId="35" fillId="6" borderId="5" xfId="0" applyNumberFormat="1" applyFont="1" applyFill="1" applyBorder="1" applyAlignment="1"/>
    <xf numFmtId="164" fontId="19" fillId="0" borderId="5" xfId="3" applyFont="1" applyFill="1" applyBorder="1" applyAlignment="1"/>
    <xf numFmtId="0" fontId="35" fillId="0" borderId="5" xfId="0" applyFont="1" applyFill="1" applyBorder="1" applyAlignment="1"/>
    <xf numFmtId="0" fontId="35" fillId="0" borderId="8" xfId="0" applyFont="1" applyFill="1" applyBorder="1" applyAlignment="1"/>
    <xf numFmtId="165" fontId="19" fillId="6" borderId="3" xfId="0" applyNumberFormat="1" applyFont="1" applyFill="1" applyBorder="1" applyAlignment="1"/>
    <xf numFmtId="9" fontId="19" fillId="6" borderId="3" xfId="4" applyFont="1" applyFill="1" applyBorder="1" applyAlignment="1"/>
    <xf numFmtId="169" fontId="35" fillId="6" borderId="39" xfId="0" applyNumberFormat="1" applyFont="1" applyFill="1" applyBorder="1" applyAlignment="1">
      <alignment horizontal="center" vertical="center" wrapText="1"/>
    </xf>
    <xf numFmtId="165" fontId="35" fillId="6" borderId="25" xfId="0" applyNumberFormat="1" applyFont="1" applyFill="1" applyBorder="1" applyAlignment="1"/>
    <xf numFmtId="164" fontId="19" fillId="0" borderId="31" xfId="3" applyFont="1" applyFill="1" applyBorder="1" applyAlignment="1"/>
    <xf numFmtId="164" fontId="19" fillId="0" borderId="36" xfId="3" applyFont="1" applyFill="1" applyBorder="1" applyAlignment="1"/>
    <xf numFmtId="169" fontId="35" fillId="0" borderId="33" xfId="0" applyNumberFormat="1" applyFont="1" applyFill="1" applyBorder="1" applyAlignment="1"/>
    <xf numFmtId="165" fontId="35" fillId="0" borderId="31" xfId="0" applyNumberFormat="1" applyFont="1" applyFill="1" applyBorder="1" applyAlignment="1"/>
    <xf numFmtId="173" fontId="18" fillId="0" borderId="0" xfId="4" applyNumberFormat="1" applyFont="1" applyFill="1"/>
    <xf numFmtId="10" fontId="18" fillId="0" borderId="0" xfId="4" applyNumberFormat="1" applyFont="1" applyFill="1"/>
    <xf numFmtId="0" fontId="19" fillId="6" borderId="1" xfId="3" applyNumberFormat="1" applyFont="1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/>
    <xf numFmtId="0" fontId="8" fillId="0" borderId="3" xfId="0" applyFont="1" applyBorder="1"/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13" fillId="0" borderId="16" xfId="2" applyNumberFormat="1" applyFont="1" applyFill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2" fillId="0" borderId="7" xfId="0" applyFont="1" applyBorder="1"/>
    <xf numFmtId="0" fontId="13" fillId="0" borderId="0" xfId="5" applyNumberFormat="1" applyFont="1" applyFill="1" applyAlignment="1">
      <alignment horizontal="left" vertical="top" wrapText="1"/>
    </xf>
    <xf numFmtId="49" fontId="36" fillId="0" borderId="42" xfId="5" applyNumberFormat="1" applyFont="1" applyFill="1" applyBorder="1" applyAlignment="1"/>
    <xf numFmtId="49" fontId="36" fillId="0" borderId="43" xfId="5" applyNumberFormat="1" applyFont="1" applyFill="1" applyBorder="1" applyAlignment="1"/>
    <xf numFmtId="49" fontId="36" fillId="0" borderId="48" xfId="5" applyNumberFormat="1" applyFont="1" applyFill="1" applyBorder="1" applyAlignment="1"/>
    <xf numFmtId="0" fontId="29" fillId="0" borderId="20" xfId="5" applyFont="1" applyFill="1" applyBorder="1" applyAlignment="1">
      <alignment wrapText="1"/>
    </xf>
    <xf numFmtId="0" fontId="29" fillId="0" borderId="0" xfId="5" applyFont="1" applyFill="1" applyBorder="1" applyAlignment="1">
      <alignment wrapText="1"/>
    </xf>
    <xf numFmtId="0" fontId="29" fillId="0" borderId="49" xfId="5" applyFont="1" applyFill="1" applyBorder="1" applyAlignment="1">
      <alignment wrapText="1"/>
    </xf>
    <xf numFmtId="49" fontId="13" fillId="0" borderId="24" xfId="5" applyNumberFormat="1" applyFont="1" applyFill="1" applyBorder="1" applyAlignment="1">
      <alignment wrapText="1"/>
    </xf>
    <xf numFmtId="49" fontId="13" fillId="0" borderId="31" xfId="5" applyNumberFormat="1" applyFont="1" applyFill="1" applyBorder="1" applyAlignment="1">
      <alignment wrapText="1"/>
    </xf>
    <xf numFmtId="0" fontId="18" fillId="0" borderId="25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8" fillId="0" borderId="26" xfId="5" applyFont="1" applyFill="1" applyBorder="1" applyAlignment="1">
      <alignment wrapText="1"/>
    </xf>
    <xf numFmtId="0" fontId="18" fillId="0" borderId="32" xfId="5" applyFont="1" applyFill="1" applyBorder="1" applyAlignment="1">
      <alignment wrapText="1"/>
    </xf>
    <xf numFmtId="0" fontId="10" fillId="0" borderId="25" xfId="5" applyFont="1" applyFill="1" applyBorder="1" applyAlignment="1">
      <alignment horizontal="center" vertical="center" wrapText="1"/>
    </xf>
    <xf numFmtId="0" fontId="10" fillId="0" borderId="46" xfId="5" applyFont="1" applyFill="1" applyBorder="1" applyAlignment="1">
      <alignment horizontal="center" vertical="center" wrapText="1"/>
    </xf>
    <xf numFmtId="0" fontId="10" fillId="0" borderId="39" xfId="5" applyFont="1" applyFill="1" applyBorder="1" applyAlignment="1">
      <alignment horizontal="center" vertical="center" wrapText="1"/>
    </xf>
    <xf numFmtId="0" fontId="18" fillId="0" borderId="28" xfId="5" applyFont="1" applyFill="1" applyBorder="1" applyAlignment="1">
      <alignment horizontal="center" vertical="center" wrapText="1"/>
    </xf>
    <xf numFmtId="0" fontId="18" fillId="0" borderId="29" xfId="5" applyFont="1" applyFill="1" applyBorder="1" applyAlignment="1">
      <alignment horizontal="center" vertical="center" wrapText="1"/>
    </xf>
    <xf numFmtId="0" fontId="18" fillId="0" borderId="27" xfId="5" applyFont="1" applyFill="1" applyBorder="1" applyAlignment="1">
      <alignment horizontal="center" vertical="center" wrapText="1"/>
    </xf>
    <xf numFmtId="0" fontId="18" fillId="0" borderId="44" xfId="5" applyFont="1" applyFill="1" applyBorder="1" applyAlignment="1">
      <alignment wrapText="1"/>
    </xf>
    <xf numFmtId="0" fontId="18" fillId="0" borderId="27" xfId="5" applyFont="1" applyFill="1" applyBorder="1" applyAlignment="1">
      <alignment wrapText="1"/>
    </xf>
    <xf numFmtId="49" fontId="13" fillId="0" borderId="0" xfId="5" applyNumberFormat="1" applyFont="1" applyFill="1" applyAlignment="1">
      <alignment horizontal="left" vertical="center"/>
    </xf>
    <xf numFmtId="0" fontId="29" fillId="0" borderId="0" xfId="5" applyFont="1" applyFill="1" applyAlignment="1">
      <alignment horizontal="center" vertical="center" wrapText="1"/>
    </xf>
    <xf numFmtId="49" fontId="30" fillId="0" borderId="24" xfId="5" applyNumberFormat="1" applyFont="1" applyFill="1" applyBorder="1" applyAlignment="1">
      <alignment horizontal="center" vertical="center" wrapText="1"/>
    </xf>
    <xf numFmtId="49" fontId="30" fillId="0" borderId="31" xfId="5" applyNumberFormat="1" applyFont="1" applyFill="1" applyBorder="1" applyAlignment="1">
      <alignment horizontal="center" vertical="center" wrapText="1"/>
    </xf>
    <xf numFmtId="0" fontId="31" fillId="0" borderId="25" xfId="5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31" fillId="0" borderId="26" xfId="5" applyFont="1" applyFill="1" applyBorder="1" applyAlignment="1">
      <alignment horizontal="center" vertical="center" wrapText="1"/>
    </xf>
    <xf numFmtId="0" fontId="31" fillId="0" borderId="32" xfId="5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28" xfId="5" applyFont="1" applyFill="1" applyBorder="1" applyAlignment="1">
      <alignment horizontal="center" vertical="center" wrapText="1"/>
    </xf>
    <xf numFmtId="0" fontId="10" fillId="0" borderId="29" xfId="5" applyFont="1" applyFill="1" applyBorder="1" applyAlignment="1">
      <alignment horizontal="center" vertical="center" wrapText="1"/>
    </xf>
    <xf numFmtId="0" fontId="10" fillId="0" borderId="27" xfId="5" applyFont="1" applyFill="1" applyBorder="1" applyAlignment="1">
      <alignment horizontal="center" vertical="center" wrapText="1"/>
    </xf>
    <xf numFmtId="49" fontId="34" fillId="0" borderId="34" xfId="5" applyNumberFormat="1" applyFont="1" applyFill="1" applyBorder="1" applyAlignment="1">
      <alignment horizontal="center" vertical="center"/>
    </xf>
    <xf numFmtId="49" fontId="34" fillId="0" borderId="35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top"/>
    </xf>
    <xf numFmtId="0" fontId="25" fillId="0" borderId="0" xfId="5" applyFont="1" applyFill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65" fontId="19" fillId="6" borderId="1" xfId="3" applyNumberFormat="1" applyFont="1" applyFill="1" applyBorder="1" applyAlignment="1"/>
    <xf numFmtId="165" fontId="19" fillId="0" borderId="1" xfId="3" applyNumberFormat="1" applyFont="1" applyFill="1" applyBorder="1" applyAlignment="1"/>
  </cellXfs>
  <cellStyles count="8">
    <cellStyle name="Гиперссылка" xfId="1" builtinId="8"/>
    <cellStyle name="Обычный" xfId="0" builtinId="0"/>
    <cellStyle name="Обычный 3 2" xfId="5"/>
    <cellStyle name="Обычный 7" xfId="2"/>
    <cellStyle name="Обычный 8" xfId="6"/>
    <cellStyle name="Обычный_Формат МЭ  - (кор  08 09 2010) 2" xfId="7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114300</xdr:rowOff>
    </xdr:to>
    <xdr:sp macro="" textlink="">
      <xdr:nvSpPr>
        <xdr:cNvPr id="1025" name="AutoShape 1" descr="smi2"/>
        <xdr:cNvSpPr>
          <a:spLocks noChangeAspect="1" noChangeArrowheads="1"/>
        </xdr:cNvSpPr>
      </xdr:nvSpPr>
      <xdr:spPr bwMode="auto">
        <a:xfrm>
          <a:off x="0" y="43107864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90" zoomScaleNormal="90" workbookViewId="0">
      <selection activeCell="A9" sqref="A9:T9"/>
    </sheetView>
  </sheetViews>
  <sheetFormatPr defaultRowHeight="15"/>
  <cols>
    <col min="1" max="1" width="13.7109375" customWidth="1"/>
    <col min="2" max="2" width="40" customWidth="1"/>
    <col min="3" max="3" width="18.140625" customWidth="1"/>
    <col min="4" max="4" width="19.140625" customWidth="1"/>
    <col min="5" max="5" width="22.7109375" customWidth="1"/>
    <col min="6" max="6" width="18.5703125" customWidth="1"/>
    <col min="7" max="7" width="19.5703125" customWidth="1"/>
    <col min="8" max="8" width="12.140625" customWidth="1"/>
    <col min="9" max="9" width="9" customWidth="1"/>
    <col min="10" max="10" width="13" customWidth="1"/>
    <col min="11" max="11" width="14.5703125" customWidth="1"/>
    <col min="12" max="12" width="9.85546875" customWidth="1"/>
    <col min="13" max="13" width="16.85546875" customWidth="1"/>
    <col min="14" max="14" width="6.7109375" customWidth="1"/>
    <col min="15" max="15" width="10.28515625" customWidth="1"/>
    <col min="16" max="16" width="12.28515625" customWidth="1"/>
    <col min="17" max="17" width="10" customWidth="1"/>
    <col min="18" max="18" width="23" customWidth="1"/>
    <col min="19" max="19" width="14.5703125" customWidth="1"/>
    <col min="20" max="20" width="3.5703125" customWidth="1"/>
    <col min="21" max="21" width="12.5703125" customWidth="1"/>
    <col min="22" max="22" width="3.28515625" customWidth="1"/>
    <col min="23" max="23" width="16.5703125" customWidth="1"/>
    <col min="24" max="24" width="4" customWidth="1"/>
    <col min="25" max="25" width="17.140625" customWidth="1"/>
    <col min="26" max="26" width="3.5703125" customWidth="1"/>
    <col min="27" max="27" width="12.42578125" customWidth="1"/>
    <col min="28" max="28" width="3" customWidth="1"/>
    <col min="29" max="29" width="13.85546875" customWidth="1"/>
  </cols>
  <sheetData>
    <row r="1" spans="1:29">
      <c r="A1" s="39"/>
      <c r="Z1" s="353" t="s">
        <v>61</v>
      </c>
      <c r="AA1" s="353"/>
      <c r="AB1" s="353"/>
      <c r="AC1" s="353"/>
    </row>
    <row r="2" spans="1:29">
      <c r="A2" s="39"/>
      <c r="Z2" s="353" t="s">
        <v>19</v>
      </c>
      <c r="AA2" s="353"/>
      <c r="AB2" s="353"/>
      <c r="AC2" s="353"/>
    </row>
    <row r="3" spans="1:29">
      <c r="A3" s="39"/>
      <c r="Z3" s="353" t="s">
        <v>62</v>
      </c>
      <c r="AA3" s="353"/>
      <c r="AB3" s="353"/>
      <c r="AC3" s="353"/>
    </row>
    <row r="4" spans="1:29" ht="18" customHeight="1">
      <c r="A4" s="352" t="s">
        <v>286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</row>
    <row r="5" spans="1:29" ht="16.5" customHeight="1">
      <c r="A5" s="347" t="s">
        <v>283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29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9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</row>
    <row r="8" spans="1:29" ht="23.25" customHeight="1">
      <c r="A8" s="347" t="s">
        <v>275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1:29" ht="20.25" customHeight="1">
      <c r="A9" s="347" t="s">
        <v>309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29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</row>
    <row r="11" spans="1:29">
      <c r="A11" s="2"/>
    </row>
    <row r="12" spans="1:29" ht="82.5" customHeight="1">
      <c r="A12" s="355" t="s">
        <v>0</v>
      </c>
      <c r="B12" s="355" t="s">
        <v>1</v>
      </c>
      <c r="C12" s="355" t="s">
        <v>2</v>
      </c>
      <c r="D12" s="346" t="s">
        <v>3</v>
      </c>
      <c r="E12" s="346" t="s">
        <v>4</v>
      </c>
      <c r="F12" s="346" t="s">
        <v>267</v>
      </c>
      <c r="G12" s="346" t="s">
        <v>268</v>
      </c>
      <c r="H12" s="346" t="s">
        <v>270</v>
      </c>
      <c r="I12" s="346"/>
      <c r="J12" s="346"/>
      <c r="K12" s="346"/>
      <c r="L12" s="346"/>
      <c r="M12" s="346"/>
      <c r="N12" s="346"/>
      <c r="O12" s="346"/>
      <c r="P12" s="346"/>
      <c r="Q12" s="346"/>
      <c r="R12" s="346" t="s">
        <v>269</v>
      </c>
      <c r="S12" s="346" t="s">
        <v>271</v>
      </c>
      <c r="T12" s="346"/>
      <c r="U12" s="346"/>
      <c r="V12" s="346"/>
      <c r="W12" s="346"/>
      <c r="X12" s="346"/>
      <c r="Y12" s="346"/>
      <c r="Z12" s="346"/>
      <c r="AA12" s="346"/>
      <c r="AB12" s="346"/>
      <c r="AC12" s="346" t="s">
        <v>5</v>
      </c>
    </row>
    <row r="13" spans="1:29" ht="14.25" customHeight="1">
      <c r="A13" s="355"/>
      <c r="B13" s="355"/>
      <c r="C13" s="355"/>
      <c r="D13" s="346"/>
      <c r="E13" s="346"/>
      <c r="F13" s="346"/>
      <c r="G13" s="346"/>
      <c r="H13" s="346" t="s">
        <v>6</v>
      </c>
      <c r="I13" s="346"/>
      <c r="J13" s="346"/>
      <c r="K13" s="346"/>
      <c r="L13" s="346"/>
      <c r="M13" s="346" t="s">
        <v>7</v>
      </c>
      <c r="N13" s="346"/>
      <c r="O13" s="346"/>
      <c r="P13" s="346"/>
      <c r="Q13" s="346"/>
      <c r="R13" s="346"/>
      <c r="S13" s="351" t="s">
        <v>8</v>
      </c>
      <c r="T13" s="351" t="s">
        <v>9</v>
      </c>
      <c r="U13" s="351"/>
      <c r="V13" s="351"/>
      <c r="W13" s="351" t="s">
        <v>10</v>
      </c>
      <c r="X13" s="351" t="s">
        <v>11</v>
      </c>
      <c r="Y13" s="351"/>
      <c r="Z13" s="351"/>
      <c r="AA13" s="351" t="s">
        <v>12</v>
      </c>
      <c r="AB13" s="349"/>
      <c r="AC13" s="346"/>
    </row>
    <row r="14" spans="1:29" ht="72.75" customHeight="1">
      <c r="A14" s="355"/>
      <c r="B14" s="355"/>
      <c r="C14" s="355"/>
      <c r="D14" s="346"/>
      <c r="E14" s="346"/>
      <c r="F14" s="346"/>
      <c r="G14" s="346"/>
      <c r="H14" s="351" t="s">
        <v>8</v>
      </c>
      <c r="I14" s="351" t="s">
        <v>9</v>
      </c>
      <c r="J14" s="351" t="s">
        <v>10</v>
      </c>
      <c r="K14" s="351" t="s">
        <v>11</v>
      </c>
      <c r="L14" s="351" t="s">
        <v>12</v>
      </c>
      <c r="M14" s="351" t="s">
        <v>13</v>
      </c>
      <c r="N14" s="351" t="s">
        <v>9</v>
      </c>
      <c r="O14" s="351" t="s">
        <v>10</v>
      </c>
      <c r="P14" s="351" t="s">
        <v>11</v>
      </c>
      <c r="Q14" s="351" t="s">
        <v>12</v>
      </c>
      <c r="R14" s="346"/>
      <c r="S14" s="351"/>
      <c r="T14" s="351"/>
      <c r="U14" s="351"/>
      <c r="V14" s="351"/>
      <c r="W14" s="351"/>
      <c r="X14" s="351"/>
      <c r="Y14" s="351"/>
      <c r="Z14" s="351"/>
      <c r="AA14" s="351"/>
      <c r="AB14" s="350"/>
      <c r="AC14" s="346"/>
    </row>
    <row r="15" spans="1:29" ht="90.75" customHeight="1">
      <c r="A15" s="355"/>
      <c r="B15" s="355"/>
      <c r="C15" s="355"/>
      <c r="D15" s="346"/>
      <c r="E15" s="346"/>
      <c r="F15" s="346"/>
      <c r="G15" s="346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46"/>
      <c r="S15" s="23" t="s">
        <v>14</v>
      </c>
      <c r="T15" s="23" t="s">
        <v>15</v>
      </c>
      <c r="U15" s="23" t="s">
        <v>14</v>
      </c>
      <c r="V15" s="23" t="s">
        <v>15</v>
      </c>
      <c r="W15" s="23" t="s">
        <v>14</v>
      </c>
      <c r="X15" s="23" t="s">
        <v>15</v>
      </c>
      <c r="Y15" s="23" t="s">
        <v>14</v>
      </c>
      <c r="Z15" s="23" t="s">
        <v>15</v>
      </c>
      <c r="AA15" s="23" t="s">
        <v>14</v>
      </c>
      <c r="AB15" s="23" t="s">
        <v>15</v>
      </c>
      <c r="AC15" s="346"/>
    </row>
    <row r="16" spans="1:29" s="4" customForma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</row>
    <row r="17" spans="1:29" ht="88.5" customHeight="1">
      <c r="A17" s="30">
        <v>1</v>
      </c>
      <c r="B17" s="31" t="s">
        <v>281</v>
      </c>
      <c r="C17" s="38" t="s">
        <v>272</v>
      </c>
      <c r="D17" s="14"/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16</v>
      </c>
      <c r="T17" s="14" t="s">
        <v>16</v>
      </c>
      <c r="U17" s="14" t="s">
        <v>16</v>
      </c>
      <c r="V17" s="14" t="s">
        <v>16</v>
      </c>
      <c r="W17" s="14" t="s">
        <v>16</v>
      </c>
      <c r="X17" s="14" t="s">
        <v>16</v>
      </c>
      <c r="Y17" s="14" t="s">
        <v>16</v>
      </c>
      <c r="Z17" s="14" t="s">
        <v>16</v>
      </c>
      <c r="AA17" s="14" t="s">
        <v>16</v>
      </c>
      <c r="AB17" s="14" t="s">
        <v>16</v>
      </c>
      <c r="AC17" s="14" t="s">
        <v>16</v>
      </c>
    </row>
    <row r="18" spans="1:29" ht="57.75" customHeight="1">
      <c r="A18" s="30">
        <v>2</v>
      </c>
      <c r="B18" s="31" t="s">
        <v>282</v>
      </c>
      <c r="C18" s="38" t="s">
        <v>273</v>
      </c>
      <c r="D18" s="14"/>
      <c r="E18" s="20"/>
      <c r="F18" s="14"/>
      <c r="G18" s="20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2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54" customFormat="1" ht="19.5" customHeight="1">
      <c r="A19" s="356" t="s">
        <v>17</v>
      </c>
      <c r="B19" s="356"/>
      <c r="C19" s="356"/>
      <c r="D19" s="62" t="s">
        <v>16</v>
      </c>
      <c r="E19" s="62" t="s">
        <v>16</v>
      </c>
      <c r="F19" s="62" t="s">
        <v>16</v>
      </c>
      <c r="G19" s="62" t="s">
        <v>16</v>
      </c>
      <c r="H19" s="62" t="s">
        <v>16</v>
      </c>
      <c r="I19" s="62" t="s">
        <v>16</v>
      </c>
      <c r="J19" s="62" t="s">
        <v>16</v>
      </c>
      <c r="K19" s="62" t="s">
        <v>16</v>
      </c>
      <c r="L19" s="62" t="s">
        <v>16</v>
      </c>
      <c r="M19" s="62" t="s">
        <v>16</v>
      </c>
      <c r="N19" s="62" t="s">
        <v>16</v>
      </c>
      <c r="O19" s="62" t="s">
        <v>16</v>
      </c>
      <c r="P19" s="62" t="s">
        <v>16</v>
      </c>
      <c r="Q19" s="62" t="s">
        <v>16</v>
      </c>
      <c r="R19" s="62" t="s">
        <v>16</v>
      </c>
      <c r="S19" s="62" t="s">
        <v>16</v>
      </c>
      <c r="T19" s="62" t="s">
        <v>16</v>
      </c>
      <c r="U19" s="62" t="s">
        <v>16</v>
      </c>
      <c r="V19" s="62" t="s">
        <v>16</v>
      </c>
      <c r="W19" s="62" t="s">
        <v>16</v>
      </c>
      <c r="X19" s="62" t="s">
        <v>16</v>
      </c>
      <c r="Y19" s="62" t="s">
        <v>16</v>
      </c>
      <c r="Z19" s="62" t="s">
        <v>16</v>
      </c>
      <c r="AA19" s="62" t="s">
        <v>16</v>
      </c>
      <c r="AB19" s="62" t="s">
        <v>16</v>
      </c>
      <c r="AC19" s="62" t="s">
        <v>16</v>
      </c>
    </row>
    <row r="20" spans="1:29" ht="14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4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7" customFormat="1" ht="32.25" customHeight="1">
      <c r="A22" s="354" t="s">
        <v>18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</row>
  </sheetData>
  <mergeCells count="41">
    <mergeCell ref="A4:AC4"/>
    <mergeCell ref="Z1:AC1"/>
    <mergeCell ref="Z2:AC2"/>
    <mergeCell ref="Z3:AC3"/>
    <mergeCell ref="A22:X22"/>
    <mergeCell ref="P14:P15"/>
    <mergeCell ref="Q14:Q15"/>
    <mergeCell ref="AC12:AC15"/>
    <mergeCell ref="M13:Q13"/>
    <mergeCell ref="S13:S14"/>
    <mergeCell ref="T13:V14"/>
    <mergeCell ref="W13:W14"/>
    <mergeCell ref="A12:A15"/>
    <mergeCell ref="B12:B15"/>
    <mergeCell ref="C12:C15"/>
    <mergeCell ref="A19:C19"/>
    <mergeCell ref="AA13:AA14"/>
    <mergeCell ref="H14:H15"/>
    <mergeCell ref="I14:I15"/>
    <mergeCell ref="J14:J15"/>
    <mergeCell ref="K14:K15"/>
    <mergeCell ref="L14:L15"/>
    <mergeCell ref="M14:M15"/>
    <mergeCell ref="N14:N15"/>
    <mergeCell ref="O14:O15"/>
    <mergeCell ref="E12:E15"/>
    <mergeCell ref="F12:F15"/>
    <mergeCell ref="A5:T5"/>
    <mergeCell ref="A6:T6"/>
    <mergeCell ref="A7:T7"/>
    <mergeCell ref="A8:T8"/>
    <mergeCell ref="A9:T9"/>
    <mergeCell ref="A10:T10"/>
    <mergeCell ref="D12:D15"/>
    <mergeCell ref="G12:G15"/>
    <mergeCell ref="H12:Q12"/>
    <mergeCell ref="R12:R15"/>
    <mergeCell ref="S12:AB12"/>
    <mergeCell ref="H13:L13"/>
    <mergeCell ref="AB13:AB14"/>
    <mergeCell ref="X13:Z1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13" zoomScale="90" zoomScaleNormal="90" workbookViewId="0">
      <pane xSplit="3" ySplit="6" topLeftCell="D19" activePane="bottomRight" state="frozen"/>
      <selection activeCell="A13" sqref="A13"/>
      <selection pane="topRight" activeCell="D13" sqref="D13"/>
      <selection pane="bottomLeft" activeCell="A19" sqref="A19"/>
      <selection pane="bottomRight" activeCell="T24" sqref="T24"/>
    </sheetView>
  </sheetViews>
  <sheetFormatPr defaultRowHeight="15"/>
  <cols>
    <col min="1" max="1" width="8.7109375" customWidth="1"/>
    <col min="2" max="2" width="45.140625" customWidth="1"/>
    <col min="3" max="3" width="15" customWidth="1"/>
    <col min="4" max="4" width="14.5703125" customWidth="1"/>
    <col min="5" max="5" width="10.42578125" customWidth="1"/>
    <col min="6" max="6" width="13.7109375" customWidth="1"/>
    <col min="7" max="7" width="15.140625" customWidth="1"/>
    <col min="8" max="8" width="8.7109375" customWidth="1"/>
    <col min="9" max="9" width="12.7109375" customWidth="1"/>
    <col min="10" max="10" width="10.42578125" customWidth="1"/>
    <col min="11" max="11" width="14.140625" customWidth="1"/>
    <col min="12" max="12" width="14.85546875" customWidth="1"/>
    <col min="13" max="13" width="9.42578125" customWidth="1"/>
    <col min="14" max="14" width="8.7109375" customWidth="1"/>
    <col min="15" max="16" width="9" customWidth="1"/>
    <col min="17" max="17" width="7.42578125" customWidth="1"/>
    <col min="18" max="18" width="9.28515625" customWidth="1"/>
    <col min="19" max="19" width="7.7109375" customWidth="1"/>
    <col min="20" max="20" width="11" customWidth="1"/>
    <col min="21" max="22" width="8.5703125" customWidth="1"/>
    <col min="23" max="23" width="7.140625" customWidth="1"/>
    <col min="24" max="24" width="17.85546875" customWidth="1"/>
    <col min="25" max="25" width="5.140625" customWidth="1"/>
    <col min="26" max="26" width="8.140625" customWidth="1"/>
  </cols>
  <sheetData>
    <row r="1" spans="1:27" ht="15" customHeight="1">
      <c r="U1" s="362" t="s">
        <v>149</v>
      </c>
      <c r="V1" s="362"/>
      <c r="W1" s="362"/>
      <c r="X1" s="362"/>
    </row>
    <row r="2" spans="1:27" ht="15" customHeight="1">
      <c r="U2" s="362" t="s">
        <v>19</v>
      </c>
      <c r="V2" s="362"/>
      <c r="W2" s="362"/>
      <c r="X2" s="362"/>
    </row>
    <row r="3" spans="1:27" ht="15" customHeight="1">
      <c r="U3" s="362" t="s">
        <v>20</v>
      </c>
      <c r="V3" s="362"/>
      <c r="W3" s="362"/>
      <c r="X3" s="362"/>
    </row>
    <row r="4" spans="1:27" ht="15" customHeight="1">
      <c r="A4" s="2"/>
    </row>
    <row r="5" spans="1:27" ht="21.75" customHeight="1">
      <c r="A5" s="347" t="s">
        <v>104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</row>
    <row r="6" spans="1:27" ht="16.5" customHeight="1">
      <c r="A6" s="347" t="s">
        <v>1135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7" ht="18.75" customHeight="1">
      <c r="A7" s="347" t="s">
        <v>274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45"/>
      <c r="V7" s="45"/>
      <c r="W7" s="45"/>
      <c r="X7" s="45"/>
      <c r="Y7" s="45"/>
      <c r="Z7" s="45"/>
      <c r="AA7" s="45"/>
    </row>
    <row r="8" spans="1:27" ht="12.75" customHeight="1">
      <c r="A8" s="348" t="s">
        <v>21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44"/>
      <c r="V8" s="44"/>
      <c r="W8" s="44"/>
      <c r="X8" s="44"/>
      <c r="Y8" s="44"/>
      <c r="Z8" s="44"/>
      <c r="AA8" s="44"/>
    </row>
    <row r="9" spans="1:27" ht="23.25" customHeight="1">
      <c r="A9" s="347" t="s">
        <v>1107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27" ht="20.25" customHeight="1">
      <c r="A10" s="347" t="s">
        <v>1108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45"/>
      <c r="V10" s="45"/>
      <c r="W10" s="45"/>
      <c r="X10" s="45"/>
      <c r="Y10" s="45"/>
      <c r="Z10" s="45"/>
      <c r="AA10" s="45"/>
    </row>
    <row r="11" spans="1:27" ht="18.75" customHeight="1">
      <c r="A11" s="348" t="s">
        <v>63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44"/>
      <c r="V11" s="44"/>
      <c r="W11" s="44"/>
      <c r="X11" s="44"/>
      <c r="Y11" s="44"/>
      <c r="Z11" s="44"/>
      <c r="AA11" s="44"/>
    </row>
    <row r="12" spans="1:27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7" ht="18.75" customHeight="1">
      <c r="A13" s="377" t="s">
        <v>0</v>
      </c>
      <c r="B13" s="377" t="s">
        <v>1</v>
      </c>
      <c r="C13" s="377" t="s">
        <v>2</v>
      </c>
      <c r="D13" s="377" t="s">
        <v>105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 t="s">
        <v>106</v>
      </c>
      <c r="O13" s="377"/>
      <c r="P13" s="377"/>
      <c r="Q13" s="377"/>
      <c r="R13" s="377"/>
      <c r="S13" s="377"/>
      <c r="T13" s="377"/>
      <c r="U13" s="377"/>
      <c r="V13" s="377"/>
      <c r="W13" s="377"/>
      <c r="X13" s="377" t="s">
        <v>25</v>
      </c>
    </row>
    <row r="14" spans="1:27">
      <c r="A14" s="377"/>
      <c r="B14" s="377"/>
      <c r="C14" s="377"/>
      <c r="D14" s="377" t="s">
        <v>1117</v>
      </c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</row>
    <row r="15" spans="1:27" ht="54" customHeight="1">
      <c r="A15" s="377"/>
      <c r="B15" s="377"/>
      <c r="C15" s="377"/>
      <c r="D15" s="376" t="s">
        <v>6</v>
      </c>
      <c r="E15" s="376"/>
      <c r="F15" s="376"/>
      <c r="G15" s="376"/>
      <c r="H15" s="376"/>
      <c r="I15" s="376" t="s">
        <v>7</v>
      </c>
      <c r="J15" s="376"/>
      <c r="K15" s="376"/>
      <c r="L15" s="376"/>
      <c r="M15" s="376"/>
      <c r="N15" s="376" t="s">
        <v>8</v>
      </c>
      <c r="O15" s="376"/>
      <c r="P15" s="378" t="s">
        <v>9</v>
      </c>
      <c r="Q15" s="379"/>
      <c r="R15" s="376" t="s">
        <v>10</v>
      </c>
      <c r="S15" s="376"/>
      <c r="T15" s="378" t="s">
        <v>11</v>
      </c>
      <c r="U15" s="379"/>
      <c r="V15" s="376" t="s">
        <v>12</v>
      </c>
      <c r="W15" s="376"/>
      <c r="X15" s="377"/>
    </row>
    <row r="16" spans="1:27" ht="99" customHeight="1">
      <c r="A16" s="377"/>
      <c r="B16" s="377"/>
      <c r="C16" s="377"/>
      <c r="D16" s="376" t="s">
        <v>8</v>
      </c>
      <c r="E16" s="376" t="s">
        <v>9</v>
      </c>
      <c r="F16" s="376" t="s">
        <v>10</v>
      </c>
      <c r="G16" s="376" t="s">
        <v>11</v>
      </c>
      <c r="H16" s="376" t="s">
        <v>12</v>
      </c>
      <c r="I16" s="376" t="s">
        <v>13</v>
      </c>
      <c r="J16" s="376" t="s">
        <v>9</v>
      </c>
      <c r="K16" s="376" t="s">
        <v>10</v>
      </c>
      <c r="L16" s="376" t="s">
        <v>11</v>
      </c>
      <c r="M16" s="376" t="s">
        <v>12</v>
      </c>
      <c r="N16" s="376"/>
      <c r="O16" s="376"/>
      <c r="P16" s="380"/>
      <c r="Q16" s="381"/>
      <c r="R16" s="376"/>
      <c r="S16" s="376"/>
      <c r="T16" s="380"/>
      <c r="U16" s="381"/>
      <c r="V16" s="376"/>
      <c r="W16" s="376"/>
      <c r="X16" s="377"/>
    </row>
    <row r="17" spans="1:24" ht="69" customHeight="1">
      <c r="A17" s="377"/>
      <c r="B17" s="377"/>
      <c r="C17" s="377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50" t="s">
        <v>14</v>
      </c>
      <c r="O17" s="50" t="s">
        <v>15</v>
      </c>
      <c r="P17" s="50" t="s">
        <v>14</v>
      </c>
      <c r="Q17" s="50" t="s">
        <v>15</v>
      </c>
      <c r="R17" s="50" t="s">
        <v>14</v>
      </c>
      <c r="S17" s="50" t="s">
        <v>15</v>
      </c>
      <c r="T17" s="50" t="s">
        <v>14</v>
      </c>
      <c r="U17" s="50" t="s">
        <v>15</v>
      </c>
      <c r="V17" s="50" t="s">
        <v>14</v>
      </c>
      <c r="W17" s="50" t="s">
        <v>15</v>
      </c>
      <c r="X17" s="377"/>
    </row>
    <row r="18" spans="1:24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12">
        <v>19</v>
      </c>
      <c r="T18" s="12">
        <v>20</v>
      </c>
      <c r="U18" s="12">
        <v>21</v>
      </c>
      <c r="V18" s="12">
        <v>22</v>
      </c>
      <c r="W18" s="12">
        <v>23</v>
      </c>
      <c r="X18" s="12">
        <v>24</v>
      </c>
    </row>
    <row r="19" spans="1:24" ht="28.5">
      <c r="A19" s="83" t="s">
        <v>384</v>
      </c>
      <c r="B19" s="84" t="s">
        <v>31</v>
      </c>
      <c r="C19" s="100" t="s">
        <v>385</v>
      </c>
      <c r="D19" s="119">
        <f t="shared" ref="D19:D30" si="0">E19+F19+G19+H19</f>
        <v>13.340000000000002</v>
      </c>
      <c r="E19" s="55">
        <f t="shared" ref="E19:H19" si="1">E20+E21+E22+E23+E24+E25</f>
        <v>0</v>
      </c>
      <c r="F19" s="55">
        <f t="shared" si="1"/>
        <v>0</v>
      </c>
      <c r="G19" s="119">
        <f t="shared" si="1"/>
        <v>13.340000000000002</v>
      </c>
      <c r="H19" s="55">
        <f t="shared" si="1"/>
        <v>0</v>
      </c>
      <c r="I19" s="119">
        <f t="shared" ref="I19:I30" si="2">J19+K19+L19+M19</f>
        <v>6.899</v>
      </c>
      <c r="J19" s="55">
        <f t="shared" ref="J19:M19" si="3">J20+J21+J22+J23+J24+J25</f>
        <v>0</v>
      </c>
      <c r="K19" s="55">
        <f t="shared" si="3"/>
        <v>0</v>
      </c>
      <c r="L19" s="119">
        <f t="shared" si="3"/>
        <v>6.899</v>
      </c>
      <c r="M19" s="55">
        <f t="shared" si="3"/>
        <v>0</v>
      </c>
      <c r="N19" s="119">
        <f>P19+R19+T19+V19</f>
        <v>-6.4410000000000016</v>
      </c>
      <c r="O19" s="117">
        <f>Q19+S19+U19+W19</f>
        <v>-48.283358320839589</v>
      </c>
      <c r="P19" s="119">
        <v>0</v>
      </c>
      <c r="Q19" s="117">
        <v>0</v>
      </c>
      <c r="R19" s="119">
        <v>0</v>
      </c>
      <c r="S19" s="117">
        <v>0</v>
      </c>
      <c r="T19" s="119">
        <f>L19-G19</f>
        <v>-6.4410000000000016</v>
      </c>
      <c r="U19" s="117">
        <f>(T19/G19)*100</f>
        <v>-48.283358320839589</v>
      </c>
      <c r="V19" s="55">
        <v>0</v>
      </c>
      <c r="W19" s="55">
        <v>0</v>
      </c>
      <c r="X19" s="344" t="s">
        <v>385</v>
      </c>
    </row>
    <row r="20" spans="1:24" ht="15.75">
      <c r="A20" s="85" t="s">
        <v>386</v>
      </c>
      <c r="B20" s="86" t="s">
        <v>387</v>
      </c>
      <c r="C20" s="101" t="s">
        <v>385</v>
      </c>
      <c r="D20" s="106">
        <f t="shared" si="0"/>
        <v>0</v>
      </c>
      <c r="E20" s="5"/>
      <c r="F20" s="5"/>
      <c r="G20" s="5"/>
      <c r="H20" s="5"/>
      <c r="I20" s="106">
        <f t="shared" si="2"/>
        <v>0</v>
      </c>
      <c r="J20" s="5"/>
      <c r="K20" s="5"/>
      <c r="L20" s="5"/>
      <c r="M20" s="5"/>
      <c r="N20" s="106">
        <f t="shared" ref="N20:N25" si="4">P20+R20+T20+V20</f>
        <v>0</v>
      </c>
      <c r="O20" s="107"/>
      <c r="P20" s="106">
        <v>0</v>
      </c>
      <c r="Q20" s="118" t="s">
        <v>284</v>
      </c>
      <c r="R20" s="106">
        <v>0</v>
      </c>
      <c r="S20" s="118" t="s">
        <v>284</v>
      </c>
      <c r="T20" s="106">
        <f t="shared" ref="T20:T25" si="5">L20-G20</f>
        <v>0</v>
      </c>
      <c r="U20" s="107"/>
      <c r="V20" s="5">
        <v>0</v>
      </c>
      <c r="W20" s="118" t="s">
        <v>284</v>
      </c>
      <c r="X20" s="344" t="s">
        <v>385</v>
      </c>
    </row>
    <row r="21" spans="1:24" ht="30">
      <c r="A21" s="87" t="s">
        <v>388</v>
      </c>
      <c r="B21" s="88" t="s">
        <v>389</v>
      </c>
      <c r="C21" s="101" t="s">
        <v>385</v>
      </c>
      <c r="D21" s="106">
        <f t="shared" si="0"/>
        <v>9.5040000000000013</v>
      </c>
      <c r="E21" s="55">
        <f t="shared" ref="E21:H21" si="6">E27</f>
        <v>0</v>
      </c>
      <c r="F21" s="55">
        <f t="shared" si="6"/>
        <v>0</v>
      </c>
      <c r="G21" s="277">
        <f t="shared" si="6"/>
        <v>9.5040000000000013</v>
      </c>
      <c r="H21" s="55">
        <f t="shared" si="6"/>
        <v>0</v>
      </c>
      <c r="I21" s="106">
        <f t="shared" si="2"/>
        <v>4.7629999999999999</v>
      </c>
      <c r="J21" s="55">
        <f t="shared" ref="J21:M21" si="7">J27</f>
        <v>0</v>
      </c>
      <c r="K21" s="55">
        <f t="shared" si="7"/>
        <v>0</v>
      </c>
      <c r="L21" s="277">
        <f t="shared" si="7"/>
        <v>4.7629999999999999</v>
      </c>
      <c r="M21" s="55">
        <f t="shared" si="7"/>
        <v>0</v>
      </c>
      <c r="N21" s="106">
        <f t="shared" si="4"/>
        <v>-4.7410000000000014</v>
      </c>
      <c r="O21" s="107">
        <f>U21</f>
        <v>-49.884259259259267</v>
      </c>
      <c r="P21" s="106">
        <v>0</v>
      </c>
      <c r="Q21" s="118" t="s">
        <v>284</v>
      </c>
      <c r="R21" s="106">
        <v>0</v>
      </c>
      <c r="S21" s="118" t="s">
        <v>284</v>
      </c>
      <c r="T21" s="106">
        <f t="shared" si="5"/>
        <v>-4.7410000000000014</v>
      </c>
      <c r="U21" s="107">
        <f t="shared" ref="U21" si="8">(T21/G21)*100</f>
        <v>-49.884259259259267</v>
      </c>
      <c r="V21" s="5">
        <v>0</v>
      </c>
      <c r="W21" s="118" t="s">
        <v>284</v>
      </c>
      <c r="X21" s="344" t="s">
        <v>385</v>
      </c>
    </row>
    <row r="22" spans="1:24" ht="60" customHeight="1">
      <c r="A22" s="87" t="s">
        <v>390</v>
      </c>
      <c r="B22" s="88" t="s">
        <v>391</v>
      </c>
      <c r="C22" s="101" t="s">
        <v>385</v>
      </c>
      <c r="D22" s="106">
        <f t="shared" si="0"/>
        <v>0</v>
      </c>
      <c r="E22" s="5">
        <v>0</v>
      </c>
      <c r="F22" s="5">
        <v>0</v>
      </c>
      <c r="G22" s="106">
        <v>0</v>
      </c>
      <c r="H22" s="5">
        <v>0</v>
      </c>
      <c r="I22" s="106">
        <f t="shared" si="2"/>
        <v>0</v>
      </c>
      <c r="J22" s="5">
        <v>0</v>
      </c>
      <c r="K22" s="5">
        <v>0</v>
      </c>
      <c r="L22" s="106">
        <v>0</v>
      </c>
      <c r="M22" s="5">
        <v>0</v>
      </c>
      <c r="N22" s="106">
        <f t="shared" si="4"/>
        <v>0</v>
      </c>
      <c r="O22" s="118" t="s">
        <v>284</v>
      </c>
      <c r="P22" s="106">
        <v>0</v>
      </c>
      <c r="Q22" s="118" t="s">
        <v>284</v>
      </c>
      <c r="R22" s="106">
        <v>0</v>
      </c>
      <c r="S22" s="118" t="s">
        <v>284</v>
      </c>
      <c r="T22" s="106">
        <f t="shared" si="5"/>
        <v>0</v>
      </c>
      <c r="U22" s="118" t="s">
        <v>284</v>
      </c>
      <c r="V22" s="5">
        <v>0</v>
      </c>
      <c r="W22" s="118" t="s">
        <v>284</v>
      </c>
      <c r="X22" s="344" t="s">
        <v>385</v>
      </c>
    </row>
    <row r="23" spans="1:24" ht="30">
      <c r="A23" s="87" t="s">
        <v>392</v>
      </c>
      <c r="B23" s="86" t="s">
        <v>393</v>
      </c>
      <c r="C23" s="101" t="s">
        <v>385</v>
      </c>
      <c r="D23" s="106">
        <f t="shared" si="0"/>
        <v>3.8359999999999999</v>
      </c>
      <c r="E23" s="5">
        <v>0</v>
      </c>
      <c r="F23" s="5">
        <v>0</v>
      </c>
      <c r="G23" s="106">
        <f>G41</f>
        <v>3.8359999999999999</v>
      </c>
      <c r="H23" s="5">
        <v>0</v>
      </c>
      <c r="I23" s="106">
        <f t="shared" si="2"/>
        <v>2.1360000000000001</v>
      </c>
      <c r="J23" s="5">
        <v>0</v>
      </c>
      <c r="K23" s="5">
        <v>0</v>
      </c>
      <c r="L23" s="106">
        <f>L41</f>
        <v>2.1360000000000001</v>
      </c>
      <c r="M23" s="5">
        <v>0</v>
      </c>
      <c r="N23" s="106">
        <f t="shared" si="4"/>
        <v>-1.6999999999999997</v>
      </c>
      <c r="O23" s="118" t="s">
        <v>284</v>
      </c>
      <c r="P23" s="106">
        <v>0</v>
      </c>
      <c r="Q23" s="118" t="s">
        <v>284</v>
      </c>
      <c r="R23" s="106">
        <v>0</v>
      </c>
      <c r="S23" s="118" t="s">
        <v>284</v>
      </c>
      <c r="T23" s="106">
        <f t="shared" si="5"/>
        <v>-1.6999999999999997</v>
      </c>
      <c r="U23" s="118" t="s">
        <v>284</v>
      </c>
      <c r="V23" s="5">
        <v>0</v>
      </c>
      <c r="W23" s="118" t="s">
        <v>284</v>
      </c>
      <c r="X23" s="344" t="s">
        <v>385</v>
      </c>
    </row>
    <row r="24" spans="1:24" ht="34.5" customHeight="1">
      <c r="A24" s="87" t="s">
        <v>394</v>
      </c>
      <c r="B24" s="86" t="s">
        <v>395</v>
      </c>
      <c r="C24" s="101" t="s">
        <v>385</v>
      </c>
      <c r="D24" s="106">
        <f t="shared" si="0"/>
        <v>0</v>
      </c>
      <c r="E24" s="5">
        <v>0</v>
      </c>
      <c r="F24" s="5">
        <v>0</v>
      </c>
      <c r="G24" s="106">
        <v>0</v>
      </c>
      <c r="H24" s="5">
        <v>0</v>
      </c>
      <c r="I24" s="106">
        <f t="shared" si="2"/>
        <v>0</v>
      </c>
      <c r="J24" s="5">
        <v>0</v>
      </c>
      <c r="K24" s="5">
        <v>0</v>
      </c>
      <c r="L24" s="106">
        <v>0</v>
      </c>
      <c r="M24" s="5">
        <v>0</v>
      </c>
      <c r="N24" s="106">
        <f t="shared" si="4"/>
        <v>0</v>
      </c>
      <c r="O24" s="118" t="s">
        <v>284</v>
      </c>
      <c r="P24" s="106">
        <v>0</v>
      </c>
      <c r="Q24" s="118" t="s">
        <v>284</v>
      </c>
      <c r="R24" s="106">
        <v>0</v>
      </c>
      <c r="S24" s="118" t="s">
        <v>284</v>
      </c>
      <c r="T24" s="106">
        <f t="shared" si="5"/>
        <v>0</v>
      </c>
      <c r="U24" s="118" t="s">
        <v>284</v>
      </c>
      <c r="V24" s="5">
        <v>0</v>
      </c>
      <c r="W24" s="118" t="s">
        <v>284</v>
      </c>
      <c r="X24" s="344" t="s">
        <v>385</v>
      </c>
    </row>
    <row r="25" spans="1:24" ht="15.75">
      <c r="A25" s="87" t="s">
        <v>396</v>
      </c>
      <c r="B25" s="86" t="s">
        <v>397</v>
      </c>
      <c r="C25" s="101" t="s">
        <v>385</v>
      </c>
      <c r="D25" s="106">
        <f t="shared" si="0"/>
        <v>0</v>
      </c>
      <c r="E25" s="5">
        <v>0</v>
      </c>
      <c r="F25" s="5">
        <v>0</v>
      </c>
      <c r="G25" s="106">
        <v>0</v>
      </c>
      <c r="H25" s="5">
        <v>0</v>
      </c>
      <c r="I25" s="106">
        <f t="shared" si="2"/>
        <v>0</v>
      </c>
      <c r="J25" s="5">
        <v>0</v>
      </c>
      <c r="K25" s="5">
        <v>0</v>
      </c>
      <c r="L25" s="106">
        <v>0</v>
      </c>
      <c r="M25" s="5">
        <v>0</v>
      </c>
      <c r="N25" s="106">
        <f t="shared" si="4"/>
        <v>0</v>
      </c>
      <c r="O25" s="118" t="s">
        <v>284</v>
      </c>
      <c r="P25" s="106">
        <v>0</v>
      </c>
      <c r="Q25" s="118" t="s">
        <v>284</v>
      </c>
      <c r="R25" s="106">
        <v>0</v>
      </c>
      <c r="S25" s="118" t="s">
        <v>284</v>
      </c>
      <c r="T25" s="106">
        <f t="shared" si="5"/>
        <v>0</v>
      </c>
      <c r="U25" s="118" t="s">
        <v>284</v>
      </c>
      <c r="V25" s="5">
        <v>0</v>
      </c>
      <c r="W25" s="118" t="s">
        <v>284</v>
      </c>
      <c r="X25" s="344" t="s">
        <v>385</v>
      </c>
    </row>
    <row r="26" spans="1:24" ht="15.75">
      <c r="A26" s="89" t="s">
        <v>398</v>
      </c>
      <c r="B26" s="90" t="s">
        <v>399</v>
      </c>
      <c r="C26" s="101" t="s">
        <v>385</v>
      </c>
      <c r="D26" s="119">
        <f t="shared" si="0"/>
        <v>13.340000000000002</v>
      </c>
      <c r="E26" s="55">
        <f>E27+E41</f>
        <v>0</v>
      </c>
      <c r="F26" s="55">
        <f>F27+F41</f>
        <v>0</v>
      </c>
      <c r="G26" s="119">
        <f>G27+G41</f>
        <v>13.340000000000002</v>
      </c>
      <c r="H26" s="55">
        <f>H27+H41</f>
        <v>0</v>
      </c>
      <c r="I26" s="119">
        <f t="shared" si="2"/>
        <v>6.899</v>
      </c>
      <c r="J26" s="55">
        <f>J27+J41</f>
        <v>0</v>
      </c>
      <c r="K26" s="55">
        <f>K27+K41</f>
        <v>0</v>
      </c>
      <c r="L26" s="119">
        <f>L27+L41</f>
        <v>6.899</v>
      </c>
      <c r="M26" s="55">
        <f>M27+M41</f>
        <v>0</v>
      </c>
      <c r="N26" s="119">
        <f t="shared" ref="N26:N45" si="9">P26+R26+T26+V26</f>
        <v>-6.4410000000000016</v>
      </c>
      <c r="O26" s="117">
        <f t="shared" ref="O26:O39" si="10">Q26+S26+U26+W26</f>
        <v>-48.283358320839589</v>
      </c>
      <c r="P26" s="119">
        <v>0</v>
      </c>
      <c r="Q26" s="117">
        <v>0</v>
      </c>
      <c r="R26" s="119">
        <v>0</v>
      </c>
      <c r="S26" s="117">
        <v>0</v>
      </c>
      <c r="T26" s="119">
        <f t="shared" ref="T26:T45" si="11">L26-G26</f>
        <v>-6.4410000000000016</v>
      </c>
      <c r="U26" s="117">
        <f t="shared" ref="U26:U39" si="12">(T26/G26)*100</f>
        <v>-48.283358320839589</v>
      </c>
      <c r="V26" s="55">
        <v>0</v>
      </c>
      <c r="W26" s="55">
        <v>0</v>
      </c>
      <c r="X26" s="344" t="s">
        <v>385</v>
      </c>
    </row>
    <row r="27" spans="1:24" ht="42.75">
      <c r="A27" s="89" t="s">
        <v>400</v>
      </c>
      <c r="B27" s="90" t="s">
        <v>401</v>
      </c>
      <c r="C27" s="101" t="s">
        <v>385</v>
      </c>
      <c r="D27" s="119">
        <f t="shared" si="0"/>
        <v>9.5040000000000013</v>
      </c>
      <c r="E27" s="55">
        <f t="shared" ref="E27:H27" si="13">E28+E30+E37</f>
        <v>0</v>
      </c>
      <c r="F27" s="55">
        <f t="shared" si="13"/>
        <v>0</v>
      </c>
      <c r="G27" s="119">
        <f t="shared" si="13"/>
        <v>9.5040000000000013</v>
      </c>
      <c r="H27" s="55">
        <f t="shared" si="13"/>
        <v>0</v>
      </c>
      <c r="I27" s="119">
        <f t="shared" si="2"/>
        <v>4.7629999999999999</v>
      </c>
      <c r="J27" s="55">
        <f t="shared" ref="J27:M27" si="14">J28+J30+J37</f>
        <v>0</v>
      </c>
      <c r="K27" s="55">
        <f t="shared" si="14"/>
        <v>0</v>
      </c>
      <c r="L27" s="119">
        <f t="shared" si="14"/>
        <v>4.7629999999999999</v>
      </c>
      <c r="M27" s="55">
        <f t="shared" si="14"/>
        <v>0</v>
      </c>
      <c r="N27" s="119">
        <f t="shared" si="9"/>
        <v>-4.7410000000000014</v>
      </c>
      <c r="O27" s="117">
        <f t="shared" si="10"/>
        <v>-49.884259259259267</v>
      </c>
      <c r="P27" s="119">
        <v>0</v>
      </c>
      <c r="Q27" s="117">
        <v>0</v>
      </c>
      <c r="R27" s="119">
        <v>0</v>
      </c>
      <c r="S27" s="117">
        <v>0</v>
      </c>
      <c r="T27" s="119">
        <f t="shared" si="11"/>
        <v>-4.7410000000000014</v>
      </c>
      <c r="U27" s="117">
        <f t="shared" si="12"/>
        <v>-49.884259259259267</v>
      </c>
      <c r="V27" s="55">
        <v>0</v>
      </c>
      <c r="W27" s="55">
        <v>0</v>
      </c>
      <c r="X27" s="344" t="s">
        <v>385</v>
      </c>
    </row>
    <row r="28" spans="1:24" ht="55.5" customHeight="1">
      <c r="A28" s="89" t="s">
        <v>402</v>
      </c>
      <c r="B28" s="86" t="s">
        <v>403</v>
      </c>
      <c r="C28" s="101" t="s">
        <v>385</v>
      </c>
      <c r="D28" s="106">
        <f t="shared" si="0"/>
        <v>0</v>
      </c>
      <c r="E28" s="5">
        <f t="shared" ref="E28" si="15">E29</f>
        <v>0</v>
      </c>
      <c r="F28" s="5">
        <f t="shared" ref="F28" si="16">F29</f>
        <v>0</v>
      </c>
      <c r="G28" s="5">
        <f t="shared" ref="G28" si="17">G29</f>
        <v>0</v>
      </c>
      <c r="H28" s="5">
        <f t="shared" ref="H28" si="18">H29</f>
        <v>0</v>
      </c>
      <c r="I28" s="106">
        <f t="shared" si="2"/>
        <v>0</v>
      </c>
      <c r="J28" s="5">
        <f t="shared" ref="J28:M28" si="19">J29</f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106">
        <f t="shared" si="9"/>
        <v>0</v>
      </c>
      <c r="O28" s="118" t="s">
        <v>284</v>
      </c>
      <c r="P28" s="106">
        <v>0</v>
      </c>
      <c r="Q28" s="118" t="s">
        <v>284</v>
      </c>
      <c r="R28" s="106">
        <v>0</v>
      </c>
      <c r="S28" s="118" t="s">
        <v>284</v>
      </c>
      <c r="T28" s="106">
        <f t="shared" si="11"/>
        <v>0</v>
      </c>
      <c r="U28" s="118" t="s">
        <v>284</v>
      </c>
      <c r="V28" s="5">
        <v>0</v>
      </c>
      <c r="W28" s="5">
        <v>0</v>
      </c>
      <c r="X28" s="344" t="s">
        <v>385</v>
      </c>
    </row>
    <row r="29" spans="1:24" ht="30">
      <c r="A29" s="87" t="s">
        <v>404</v>
      </c>
      <c r="B29" s="86" t="s">
        <v>405</v>
      </c>
      <c r="C29" s="101" t="s">
        <v>385</v>
      </c>
      <c r="D29" s="106">
        <f t="shared" si="0"/>
        <v>0</v>
      </c>
      <c r="E29" s="5">
        <v>0</v>
      </c>
      <c r="F29" s="5">
        <v>0</v>
      </c>
      <c r="G29" s="5">
        <v>0</v>
      </c>
      <c r="H29" s="5">
        <v>0</v>
      </c>
      <c r="I29" s="106">
        <f t="shared" si="2"/>
        <v>0</v>
      </c>
      <c r="J29" s="5">
        <v>0</v>
      </c>
      <c r="K29" s="5">
        <v>0</v>
      </c>
      <c r="L29" s="5">
        <v>0</v>
      </c>
      <c r="M29" s="5">
        <v>0</v>
      </c>
      <c r="N29" s="106">
        <f t="shared" si="9"/>
        <v>0</v>
      </c>
      <c r="O29" s="118" t="s">
        <v>284</v>
      </c>
      <c r="P29" s="106">
        <v>0</v>
      </c>
      <c r="Q29" s="118" t="s">
        <v>284</v>
      </c>
      <c r="R29" s="106">
        <v>0</v>
      </c>
      <c r="S29" s="118" t="s">
        <v>284</v>
      </c>
      <c r="T29" s="106">
        <f t="shared" si="11"/>
        <v>0</v>
      </c>
      <c r="U29" s="118" t="s">
        <v>284</v>
      </c>
      <c r="V29" s="5">
        <v>0</v>
      </c>
      <c r="W29" s="5">
        <v>0</v>
      </c>
      <c r="X29" s="344" t="s">
        <v>385</v>
      </c>
    </row>
    <row r="30" spans="1:24" ht="42.75">
      <c r="A30" s="89" t="s">
        <v>406</v>
      </c>
      <c r="B30" s="90" t="s">
        <v>407</v>
      </c>
      <c r="C30" s="323" t="s">
        <v>385</v>
      </c>
      <c r="D30" s="119">
        <f t="shared" si="0"/>
        <v>7.4050000000000002</v>
      </c>
      <c r="E30" s="55">
        <f t="shared" ref="E30:H30" si="20">E31+E35</f>
        <v>0</v>
      </c>
      <c r="F30" s="55">
        <f t="shared" si="20"/>
        <v>0</v>
      </c>
      <c r="G30" s="119">
        <f t="shared" si="20"/>
        <v>7.4050000000000002</v>
      </c>
      <c r="H30" s="55">
        <f t="shared" si="20"/>
        <v>0</v>
      </c>
      <c r="I30" s="119">
        <f t="shared" si="2"/>
        <v>3.109</v>
      </c>
      <c r="J30" s="55">
        <f t="shared" ref="J30:M30" si="21">J31+J35</f>
        <v>0</v>
      </c>
      <c r="K30" s="55">
        <f t="shared" si="21"/>
        <v>0</v>
      </c>
      <c r="L30" s="119">
        <f t="shared" si="21"/>
        <v>3.109</v>
      </c>
      <c r="M30" s="55">
        <f t="shared" si="21"/>
        <v>0</v>
      </c>
      <c r="N30" s="119">
        <f t="shared" si="9"/>
        <v>-4.2960000000000003</v>
      </c>
      <c r="O30" s="117">
        <f t="shared" si="10"/>
        <v>-58.014854827819043</v>
      </c>
      <c r="P30" s="119">
        <v>0</v>
      </c>
      <c r="Q30" s="117">
        <v>0</v>
      </c>
      <c r="R30" s="119">
        <v>0</v>
      </c>
      <c r="S30" s="117">
        <v>0</v>
      </c>
      <c r="T30" s="119">
        <f t="shared" si="11"/>
        <v>-4.2960000000000003</v>
      </c>
      <c r="U30" s="117">
        <f t="shared" si="12"/>
        <v>-58.014854827819043</v>
      </c>
      <c r="V30" s="55">
        <v>0</v>
      </c>
      <c r="W30" s="55">
        <v>0</v>
      </c>
      <c r="X30" s="344" t="s">
        <v>385</v>
      </c>
    </row>
    <row r="31" spans="1:24" ht="30">
      <c r="A31" s="87" t="s">
        <v>408</v>
      </c>
      <c r="B31" s="86" t="s">
        <v>409</v>
      </c>
      <c r="C31" s="101" t="s">
        <v>385</v>
      </c>
      <c r="D31" s="106">
        <f>E31+F31+G31+H31</f>
        <v>6.8360000000000003</v>
      </c>
      <c r="E31" s="106">
        <f t="shared" ref="E31:H31" si="22">E33+E34</f>
        <v>0</v>
      </c>
      <c r="F31" s="106">
        <f t="shared" si="22"/>
        <v>0</v>
      </c>
      <c r="G31" s="106">
        <f>G33+G34+G32</f>
        <v>6.8360000000000003</v>
      </c>
      <c r="H31" s="106">
        <f t="shared" si="22"/>
        <v>0</v>
      </c>
      <c r="I31" s="106">
        <f>J31+K31+L31+M31</f>
        <v>2.8740000000000001</v>
      </c>
      <c r="J31" s="106">
        <f t="shared" ref="J31:K31" si="23">J33+J34</f>
        <v>0</v>
      </c>
      <c r="K31" s="106">
        <f t="shared" si="23"/>
        <v>0</v>
      </c>
      <c r="L31" s="106">
        <f>L33+L34+L32</f>
        <v>2.8740000000000001</v>
      </c>
      <c r="M31" s="106">
        <f t="shared" ref="M31" si="24">M33+M34</f>
        <v>0</v>
      </c>
      <c r="N31" s="106">
        <f t="shared" si="9"/>
        <v>-3.9620000000000002</v>
      </c>
      <c r="O31" s="107">
        <f t="shared" si="10"/>
        <v>-57.957870099473375</v>
      </c>
      <c r="P31" s="106">
        <v>0</v>
      </c>
      <c r="Q31" s="107">
        <v>0</v>
      </c>
      <c r="R31" s="106">
        <v>0</v>
      </c>
      <c r="S31" s="107">
        <v>0</v>
      </c>
      <c r="T31" s="106">
        <f t="shared" si="11"/>
        <v>-3.9620000000000002</v>
      </c>
      <c r="U31" s="107">
        <f t="shared" si="12"/>
        <v>-57.957870099473375</v>
      </c>
      <c r="V31" s="5">
        <v>0</v>
      </c>
      <c r="W31" s="5">
        <v>0</v>
      </c>
      <c r="X31" s="344" t="s">
        <v>385</v>
      </c>
    </row>
    <row r="32" spans="1:24" ht="45">
      <c r="A32" s="91" t="s">
        <v>410</v>
      </c>
      <c r="B32" s="92" t="s">
        <v>411</v>
      </c>
      <c r="C32" s="102" t="s">
        <v>412</v>
      </c>
      <c r="D32" s="106">
        <f>E32+F32+G32+H32</f>
        <v>1</v>
      </c>
      <c r="E32" s="5">
        <v>0</v>
      </c>
      <c r="F32" s="5">
        <v>0</v>
      </c>
      <c r="G32" s="106">
        <v>1</v>
      </c>
      <c r="H32" s="5">
        <v>0</v>
      </c>
      <c r="I32" s="106">
        <f>J32+K32+L32+M32</f>
        <v>6.5000000000000002E-2</v>
      </c>
      <c r="J32" s="5">
        <v>0</v>
      </c>
      <c r="K32" s="5">
        <v>0</v>
      </c>
      <c r="L32" s="106">
        <f>'10'!H30</f>
        <v>6.5000000000000002E-2</v>
      </c>
      <c r="M32" s="5">
        <v>0</v>
      </c>
      <c r="N32" s="106">
        <f t="shared" si="9"/>
        <v>-0.93500000000000005</v>
      </c>
      <c r="O32" s="118" t="s">
        <v>284</v>
      </c>
      <c r="P32" s="106">
        <v>0</v>
      </c>
      <c r="Q32" s="118" t="s">
        <v>284</v>
      </c>
      <c r="R32" s="106">
        <v>0</v>
      </c>
      <c r="S32" s="118" t="s">
        <v>284</v>
      </c>
      <c r="T32" s="106">
        <f t="shared" si="11"/>
        <v>-0.93500000000000005</v>
      </c>
      <c r="U32" s="107">
        <f t="shared" si="12"/>
        <v>-93.5</v>
      </c>
      <c r="V32" s="5">
        <v>0</v>
      </c>
      <c r="W32" s="5">
        <v>0</v>
      </c>
      <c r="X32" s="344" t="s">
        <v>385</v>
      </c>
    </row>
    <row r="33" spans="1:24" ht="76.5" hidden="1" customHeight="1">
      <c r="A33" s="91" t="s">
        <v>442</v>
      </c>
      <c r="B33" s="92" t="s">
        <v>414</v>
      </c>
      <c r="C33" s="102" t="s">
        <v>308</v>
      </c>
      <c r="D33" s="106">
        <f>E33+F33+G33+H33</f>
        <v>0</v>
      </c>
      <c r="E33" s="5">
        <v>0</v>
      </c>
      <c r="F33" s="5">
        <v>0</v>
      </c>
      <c r="G33" s="106">
        <v>0</v>
      </c>
      <c r="H33" s="5">
        <v>0</v>
      </c>
      <c r="I33" s="106">
        <f>J33+K33+L33+M33</f>
        <v>0</v>
      </c>
      <c r="J33" s="5">
        <v>0</v>
      </c>
      <c r="K33" s="5">
        <v>0</v>
      </c>
      <c r="L33" s="106">
        <v>0</v>
      </c>
      <c r="M33" s="5">
        <v>0</v>
      </c>
      <c r="N33" s="106">
        <f t="shared" si="9"/>
        <v>0</v>
      </c>
      <c r="O33" s="107" t="e">
        <f t="shared" si="10"/>
        <v>#DIV/0!</v>
      </c>
      <c r="P33" s="106">
        <v>0</v>
      </c>
      <c r="Q33" s="107">
        <v>0</v>
      </c>
      <c r="R33" s="106">
        <v>0</v>
      </c>
      <c r="S33" s="107">
        <v>0</v>
      </c>
      <c r="T33" s="106">
        <f>L33-G33</f>
        <v>0</v>
      </c>
      <c r="U33" s="107" t="e">
        <f t="shared" si="12"/>
        <v>#DIV/0!</v>
      </c>
      <c r="V33" s="5">
        <v>0</v>
      </c>
      <c r="W33" s="5">
        <v>0</v>
      </c>
      <c r="X33" s="344" t="s">
        <v>385</v>
      </c>
    </row>
    <row r="34" spans="1:24" ht="60">
      <c r="A34" s="91" t="s">
        <v>443</v>
      </c>
      <c r="B34" s="92" t="s">
        <v>416</v>
      </c>
      <c r="C34" s="102" t="s">
        <v>417</v>
      </c>
      <c r="D34" s="106">
        <f t="shared" ref="D34:D36" si="25">E34+F34+G34+H34</f>
        <v>5.8360000000000003</v>
      </c>
      <c r="E34" s="5">
        <v>0</v>
      </c>
      <c r="F34" s="5">
        <v>0</v>
      </c>
      <c r="G34" s="5">
        <v>5.8360000000000003</v>
      </c>
      <c r="H34" s="5">
        <v>0</v>
      </c>
      <c r="I34" s="106">
        <f t="shared" ref="I34:I46" si="26">J34+K34+L34+M34</f>
        <v>2.8090000000000002</v>
      </c>
      <c r="J34" s="5">
        <v>0</v>
      </c>
      <c r="K34" s="5">
        <v>0</v>
      </c>
      <c r="L34" s="5">
        <f>'10'!H32</f>
        <v>2.8090000000000002</v>
      </c>
      <c r="M34" s="5">
        <v>0</v>
      </c>
      <c r="N34" s="106">
        <f t="shared" ref="N34" si="27">P34+R34+T34+V34</f>
        <v>-3.0270000000000001</v>
      </c>
      <c r="O34" s="118" t="s">
        <v>284</v>
      </c>
      <c r="P34" s="106">
        <v>0</v>
      </c>
      <c r="Q34" s="118" t="s">
        <v>284</v>
      </c>
      <c r="R34" s="106">
        <v>0</v>
      </c>
      <c r="S34" s="118" t="s">
        <v>284</v>
      </c>
      <c r="T34" s="106">
        <f t="shared" ref="T34" si="28">L34-G34</f>
        <v>-3.0270000000000001</v>
      </c>
      <c r="U34" s="107">
        <f t="shared" si="12"/>
        <v>-51.867717614804661</v>
      </c>
      <c r="V34" s="5">
        <v>0</v>
      </c>
      <c r="W34" s="5">
        <v>0</v>
      </c>
      <c r="X34" s="344" t="s">
        <v>385</v>
      </c>
    </row>
    <row r="35" spans="1:24" ht="47.25">
      <c r="A35" s="114" t="s">
        <v>418</v>
      </c>
      <c r="B35" s="325" t="s">
        <v>419</v>
      </c>
      <c r="C35" s="326" t="s">
        <v>385</v>
      </c>
      <c r="D35" s="119">
        <f t="shared" si="25"/>
        <v>0.56899999999999995</v>
      </c>
      <c r="E35" s="55">
        <v>0</v>
      </c>
      <c r="F35" s="55">
        <v>0</v>
      </c>
      <c r="G35" s="55">
        <f>G36</f>
        <v>0.56899999999999995</v>
      </c>
      <c r="H35" s="55">
        <v>0</v>
      </c>
      <c r="I35" s="119">
        <f t="shared" si="26"/>
        <v>0.23499999999999999</v>
      </c>
      <c r="J35" s="55">
        <v>0</v>
      </c>
      <c r="K35" s="55">
        <v>0</v>
      </c>
      <c r="L35" s="55">
        <f>L36</f>
        <v>0.23499999999999999</v>
      </c>
      <c r="M35" s="55">
        <v>0</v>
      </c>
      <c r="N35" s="119">
        <f t="shared" si="9"/>
        <v>-0.33399999999999996</v>
      </c>
      <c r="O35" s="117"/>
      <c r="P35" s="119">
        <v>0</v>
      </c>
      <c r="Q35" s="117">
        <v>0</v>
      </c>
      <c r="R35" s="119">
        <v>0</v>
      </c>
      <c r="S35" s="117">
        <v>0</v>
      </c>
      <c r="T35" s="119">
        <f t="shared" si="11"/>
        <v>-0.33399999999999996</v>
      </c>
      <c r="U35" s="107">
        <f>(T35/G35)*100</f>
        <v>-58.699472759226708</v>
      </c>
      <c r="V35" s="55">
        <v>0</v>
      </c>
      <c r="W35" s="55">
        <v>0</v>
      </c>
      <c r="X35" s="344" t="s">
        <v>385</v>
      </c>
    </row>
    <row r="36" spans="1:24" ht="63">
      <c r="A36" s="93" t="s">
        <v>420</v>
      </c>
      <c r="B36" s="94" t="s">
        <v>421</v>
      </c>
      <c r="C36" s="103" t="s">
        <v>422</v>
      </c>
      <c r="D36" s="106">
        <f t="shared" si="25"/>
        <v>0.56899999999999995</v>
      </c>
      <c r="E36" s="5">
        <v>0</v>
      </c>
      <c r="F36" s="5">
        <v>0</v>
      </c>
      <c r="G36" s="5">
        <v>0.56899999999999995</v>
      </c>
      <c r="H36" s="5">
        <v>0</v>
      </c>
      <c r="I36" s="106">
        <f t="shared" si="26"/>
        <v>0.23499999999999999</v>
      </c>
      <c r="J36" s="5">
        <v>0</v>
      </c>
      <c r="K36" s="5">
        <v>0</v>
      </c>
      <c r="L36" s="5">
        <f>'10'!H34</f>
        <v>0.23499999999999999</v>
      </c>
      <c r="M36" s="5">
        <v>0</v>
      </c>
      <c r="N36" s="106">
        <f t="shared" ref="N36" si="29">P36+R36+T36+V36</f>
        <v>-0.33399999999999996</v>
      </c>
      <c r="O36" s="118" t="s">
        <v>284</v>
      </c>
      <c r="P36" s="106">
        <v>0</v>
      </c>
      <c r="Q36" s="118" t="s">
        <v>284</v>
      </c>
      <c r="R36" s="106">
        <v>0</v>
      </c>
      <c r="S36" s="118" t="s">
        <v>284</v>
      </c>
      <c r="T36" s="106">
        <f t="shared" ref="T36" si="30">L36-G36</f>
        <v>-0.33399999999999996</v>
      </c>
      <c r="U36" s="107">
        <f t="shared" si="12"/>
        <v>-58.699472759226708</v>
      </c>
      <c r="V36" s="5">
        <v>0</v>
      </c>
      <c r="W36" s="5">
        <v>0</v>
      </c>
      <c r="X36" s="344" t="s">
        <v>385</v>
      </c>
    </row>
    <row r="37" spans="1:24" ht="42.75">
      <c r="A37" s="89" t="s">
        <v>423</v>
      </c>
      <c r="B37" s="95" t="s">
        <v>424</v>
      </c>
      <c r="C37" s="324" t="s">
        <v>385</v>
      </c>
      <c r="D37" s="119">
        <f t="shared" ref="D37:D46" si="31">E37+F37+G37+H37</f>
        <v>2.0990000000000002</v>
      </c>
      <c r="E37" s="55">
        <f t="shared" ref="E37:M38" si="32">E38</f>
        <v>0</v>
      </c>
      <c r="F37" s="55">
        <f t="shared" si="32"/>
        <v>0</v>
      </c>
      <c r="G37" s="55">
        <f t="shared" si="32"/>
        <v>2.0990000000000002</v>
      </c>
      <c r="H37" s="55">
        <f t="shared" si="32"/>
        <v>0</v>
      </c>
      <c r="I37" s="119">
        <f t="shared" si="26"/>
        <v>1.6540000000000001</v>
      </c>
      <c r="J37" s="55">
        <f t="shared" si="32"/>
        <v>0</v>
      </c>
      <c r="K37" s="55">
        <f t="shared" si="32"/>
        <v>0</v>
      </c>
      <c r="L37" s="55">
        <f t="shared" si="32"/>
        <v>1.6540000000000001</v>
      </c>
      <c r="M37" s="55">
        <f t="shared" si="32"/>
        <v>0</v>
      </c>
      <c r="N37" s="119">
        <f t="shared" si="9"/>
        <v>-0.44500000000000006</v>
      </c>
      <c r="O37" s="117">
        <f t="shared" si="10"/>
        <v>-21.20057170080991</v>
      </c>
      <c r="P37" s="119">
        <v>0</v>
      </c>
      <c r="Q37" s="117">
        <v>0</v>
      </c>
      <c r="R37" s="119">
        <v>0</v>
      </c>
      <c r="S37" s="117">
        <v>0</v>
      </c>
      <c r="T37" s="119">
        <f t="shared" si="11"/>
        <v>-0.44500000000000006</v>
      </c>
      <c r="U37" s="117">
        <f t="shared" si="12"/>
        <v>-21.20057170080991</v>
      </c>
      <c r="V37" s="55">
        <v>0</v>
      </c>
      <c r="W37" s="55">
        <v>0</v>
      </c>
      <c r="X37" s="344" t="s">
        <v>385</v>
      </c>
    </row>
    <row r="38" spans="1:24" ht="30">
      <c r="A38" s="96" t="s">
        <v>425</v>
      </c>
      <c r="B38" s="97" t="s">
        <v>426</v>
      </c>
      <c r="C38" s="104" t="s">
        <v>385</v>
      </c>
      <c r="D38" s="106">
        <f t="shared" si="31"/>
        <v>2.0990000000000002</v>
      </c>
      <c r="E38" s="5">
        <f t="shared" si="32"/>
        <v>0</v>
      </c>
      <c r="F38" s="5">
        <f t="shared" si="32"/>
        <v>0</v>
      </c>
      <c r="G38" s="5">
        <f>G39+G40</f>
        <v>2.0990000000000002</v>
      </c>
      <c r="H38" s="5">
        <f t="shared" si="32"/>
        <v>0</v>
      </c>
      <c r="I38" s="106">
        <f t="shared" si="26"/>
        <v>1.6540000000000001</v>
      </c>
      <c r="J38" s="5">
        <f t="shared" ref="J38:M38" si="33">J39+J40</f>
        <v>0</v>
      </c>
      <c r="K38" s="5">
        <f t="shared" si="33"/>
        <v>0</v>
      </c>
      <c r="L38" s="5">
        <f t="shared" si="33"/>
        <v>1.6540000000000001</v>
      </c>
      <c r="M38" s="5">
        <f t="shared" si="33"/>
        <v>0</v>
      </c>
      <c r="N38" s="106">
        <f t="shared" si="9"/>
        <v>-0.44500000000000006</v>
      </c>
      <c r="O38" s="107">
        <f t="shared" si="10"/>
        <v>-21.20057170080991</v>
      </c>
      <c r="P38" s="106">
        <v>0</v>
      </c>
      <c r="Q38" s="107">
        <v>0</v>
      </c>
      <c r="R38" s="106">
        <v>0</v>
      </c>
      <c r="S38" s="107">
        <v>0</v>
      </c>
      <c r="T38" s="106">
        <f t="shared" si="11"/>
        <v>-0.44500000000000006</v>
      </c>
      <c r="U38" s="107">
        <f t="shared" si="12"/>
        <v>-21.20057170080991</v>
      </c>
      <c r="V38" s="5">
        <v>0</v>
      </c>
      <c r="W38" s="5">
        <v>0</v>
      </c>
      <c r="X38" s="344" t="s">
        <v>385</v>
      </c>
    </row>
    <row r="39" spans="1:24" ht="30">
      <c r="A39" s="87" t="s">
        <v>427</v>
      </c>
      <c r="B39" s="98" t="s">
        <v>428</v>
      </c>
      <c r="C39" s="101" t="s">
        <v>273</v>
      </c>
      <c r="D39" s="106">
        <f t="shared" si="31"/>
        <v>1.3580000000000001</v>
      </c>
      <c r="E39" s="5">
        <v>0</v>
      </c>
      <c r="F39" s="5">
        <v>0</v>
      </c>
      <c r="G39" s="5">
        <v>1.3580000000000001</v>
      </c>
      <c r="H39" s="5">
        <v>0</v>
      </c>
      <c r="I39" s="106">
        <f t="shared" si="26"/>
        <v>1.5680000000000001</v>
      </c>
      <c r="J39" s="5">
        <v>0</v>
      </c>
      <c r="K39" s="5">
        <v>0</v>
      </c>
      <c r="L39" s="5">
        <f>'10'!H37</f>
        <v>1.5680000000000001</v>
      </c>
      <c r="M39" s="5">
        <v>0</v>
      </c>
      <c r="N39" s="106">
        <f t="shared" si="9"/>
        <v>0.20999999999999996</v>
      </c>
      <c r="O39" s="107">
        <f t="shared" si="10"/>
        <v>15.463917525773191</v>
      </c>
      <c r="P39" s="106">
        <v>0</v>
      </c>
      <c r="Q39" s="107">
        <v>0</v>
      </c>
      <c r="R39" s="106">
        <v>0</v>
      </c>
      <c r="S39" s="107">
        <v>0</v>
      </c>
      <c r="T39" s="106">
        <f t="shared" si="11"/>
        <v>0.20999999999999996</v>
      </c>
      <c r="U39" s="107">
        <f t="shared" si="12"/>
        <v>15.463917525773191</v>
      </c>
      <c r="V39" s="5">
        <v>0</v>
      </c>
      <c r="W39" s="5">
        <v>0</v>
      </c>
      <c r="X39" s="344" t="s">
        <v>385</v>
      </c>
    </row>
    <row r="40" spans="1:24" ht="39" customHeight="1">
      <c r="A40" s="87" t="s">
        <v>1063</v>
      </c>
      <c r="B40" s="98" t="s">
        <v>428</v>
      </c>
      <c r="C40" s="101" t="s">
        <v>1116</v>
      </c>
      <c r="D40" s="106">
        <f t="shared" ref="D40" si="34">E40+F40+G40+H40</f>
        <v>0.74099999999999999</v>
      </c>
      <c r="E40" s="5">
        <v>0</v>
      </c>
      <c r="F40" s="5">
        <v>0</v>
      </c>
      <c r="G40" s="5">
        <v>0.74099999999999999</v>
      </c>
      <c r="H40" s="5">
        <v>0</v>
      </c>
      <c r="I40" s="106">
        <f t="shared" si="26"/>
        <v>8.5999999999999993E-2</v>
      </c>
      <c r="J40" s="5">
        <v>0</v>
      </c>
      <c r="K40" s="5">
        <v>0</v>
      </c>
      <c r="L40" s="5">
        <f>'10'!H38</f>
        <v>8.5999999999999993E-2</v>
      </c>
      <c r="M40" s="5">
        <v>0</v>
      </c>
      <c r="N40" s="106">
        <f t="shared" ref="N40" si="35">P40+R40+T40+V40</f>
        <v>-0.65500000000000003</v>
      </c>
      <c r="O40" s="107">
        <f t="shared" ref="O40" si="36">Q40+S40+U40+W40</f>
        <v>-88.394062078272611</v>
      </c>
      <c r="P40" s="106">
        <v>0</v>
      </c>
      <c r="Q40" s="107">
        <v>0</v>
      </c>
      <c r="R40" s="106">
        <v>0</v>
      </c>
      <c r="S40" s="107">
        <v>0</v>
      </c>
      <c r="T40" s="106">
        <f t="shared" ref="T40" si="37">L40-G40</f>
        <v>-0.65500000000000003</v>
      </c>
      <c r="U40" s="107">
        <f t="shared" ref="U40:U44" si="38">(T40/G40)*100</f>
        <v>-88.394062078272611</v>
      </c>
      <c r="V40" s="5">
        <v>0</v>
      </c>
      <c r="W40" s="5">
        <v>0</v>
      </c>
      <c r="X40" s="344" t="s">
        <v>385</v>
      </c>
    </row>
    <row r="41" spans="1:24" ht="42.75">
      <c r="A41" s="89" t="s">
        <v>429</v>
      </c>
      <c r="B41" s="90" t="s">
        <v>430</v>
      </c>
      <c r="C41" s="323"/>
      <c r="D41" s="119">
        <f t="shared" si="31"/>
        <v>3.8359999999999999</v>
      </c>
      <c r="E41" s="55">
        <v>0</v>
      </c>
      <c r="F41" s="55">
        <v>0</v>
      </c>
      <c r="G41" s="55">
        <f>G42+G43+G44</f>
        <v>3.8359999999999999</v>
      </c>
      <c r="H41" s="55">
        <v>0</v>
      </c>
      <c r="I41" s="119">
        <f t="shared" si="26"/>
        <v>2.1360000000000001</v>
      </c>
      <c r="J41" s="55">
        <v>0</v>
      </c>
      <c r="K41" s="55">
        <v>0</v>
      </c>
      <c r="L41" s="55">
        <f>L42+L43+L44</f>
        <v>2.1360000000000001</v>
      </c>
      <c r="M41" s="55">
        <v>0</v>
      </c>
      <c r="N41" s="119">
        <f t="shared" si="9"/>
        <v>-1.6999999999999997</v>
      </c>
      <c r="O41" s="117"/>
      <c r="P41" s="119">
        <v>0</v>
      </c>
      <c r="Q41" s="117">
        <v>0</v>
      </c>
      <c r="R41" s="119">
        <v>0</v>
      </c>
      <c r="S41" s="117">
        <v>0</v>
      </c>
      <c r="T41" s="119">
        <f t="shared" si="11"/>
        <v>-1.6999999999999997</v>
      </c>
      <c r="U41" s="107">
        <f t="shared" si="38"/>
        <v>-44.316996871741395</v>
      </c>
      <c r="V41" s="55">
        <v>0</v>
      </c>
      <c r="W41" s="55">
        <v>0</v>
      </c>
      <c r="X41" s="344" t="s">
        <v>385</v>
      </c>
    </row>
    <row r="42" spans="1:24" ht="45">
      <c r="A42" s="91" t="s">
        <v>431</v>
      </c>
      <c r="B42" s="99" t="s">
        <v>432</v>
      </c>
      <c r="C42" s="102" t="s">
        <v>433</v>
      </c>
      <c r="D42" s="106">
        <f t="shared" si="31"/>
        <v>0.69299999999999995</v>
      </c>
      <c r="E42" s="5">
        <v>0</v>
      </c>
      <c r="F42" s="5">
        <v>0</v>
      </c>
      <c r="G42" s="5">
        <v>0.69299999999999995</v>
      </c>
      <c r="H42" s="5">
        <v>0</v>
      </c>
      <c r="I42" s="106">
        <f t="shared" si="26"/>
        <v>0.36499999999999999</v>
      </c>
      <c r="J42" s="5">
        <v>0</v>
      </c>
      <c r="K42" s="5">
        <v>0</v>
      </c>
      <c r="L42" s="5">
        <f>'10'!H40</f>
        <v>0.36499999999999999</v>
      </c>
      <c r="M42" s="5">
        <v>0</v>
      </c>
      <c r="N42" s="106">
        <f t="shared" ref="N42:N44" si="39">P42+R42+T42+V42</f>
        <v>-0.32799999999999996</v>
      </c>
      <c r="O42" s="118" t="s">
        <v>284</v>
      </c>
      <c r="P42" s="106">
        <v>0</v>
      </c>
      <c r="Q42" s="118" t="s">
        <v>284</v>
      </c>
      <c r="R42" s="106">
        <v>0</v>
      </c>
      <c r="S42" s="118" t="s">
        <v>284</v>
      </c>
      <c r="T42" s="106">
        <f t="shared" ref="T42:T44" si="40">L42-G42</f>
        <v>-0.32799999999999996</v>
      </c>
      <c r="U42" s="107">
        <f t="shared" si="38"/>
        <v>-47.330447330447328</v>
      </c>
      <c r="V42" s="5">
        <v>0</v>
      </c>
      <c r="W42" s="5">
        <v>0</v>
      </c>
      <c r="X42" s="344" t="s">
        <v>385</v>
      </c>
    </row>
    <row r="43" spans="1:24" ht="31.5">
      <c r="A43" s="91" t="s">
        <v>444</v>
      </c>
      <c r="B43" s="99" t="s">
        <v>435</v>
      </c>
      <c r="C43" s="102" t="s">
        <v>436</v>
      </c>
      <c r="D43" s="106">
        <f t="shared" si="31"/>
        <v>0.125</v>
      </c>
      <c r="E43" s="5">
        <v>0</v>
      </c>
      <c r="F43" s="5">
        <v>0</v>
      </c>
      <c r="G43" s="5">
        <v>0.125</v>
      </c>
      <c r="H43" s="5">
        <v>0</v>
      </c>
      <c r="I43" s="106">
        <f t="shared" si="26"/>
        <v>6.8000000000000005E-2</v>
      </c>
      <c r="J43" s="5">
        <v>0</v>
      </c>
      <c r="K43" s="5">
        <v>0</v>
      </c>
      <c r="L43" s="5">
        <f>'10'!H41</f>
        <v>6.8000000000000005E-2</v>
      </c>
      <c r="M43" s="5">
        <v>0</v>
      </c>
      <c r="N43" s="106">
        <f t="shared" si="39"/>
        <v>-5.6999999999999995E-2</v>
      </c>
      <c r="O43" s="118" t="s">
        <v>284</v>
      </c>
      <c r="P43" s="106">
        <v>0</v>
      </c>
      <c r="Q43" s="118" t="s">
        <v>284</v>
      </c>
      <c r="R43" s="106">
        <v>0</v>
      </c>
      <c r="S43" s="118" t="s">
        <v>284</v>
      </c>
      <c r="T43" s="106">
        <f t="shared" si="40"/>
        <v>-5.6999999999999995E-2</v>
      </c>
      <c r="U43" s="107">
        <f t="shared" si="38"/>
        <v>-45.599999999999994</v>
      </c>
      <c r="V43" s="5">
        <v>0</v>
      </c>
      <c r="W43" s="5">
        <v>0</v>
      </c>
      <c r="X43" s="344" t="s">
        <v>385</v>
      </c>
    </row>
    <row r="44" spans="1:24" ht="31.5">
      <c r="A44" s="91" t="s">
        <v>434</v>
      </c>
      <c r="B44" s="99" t="s">
        <v>438</v>
      </c>
      <c r="C44" s="102" t="s">
        <v>439</v>
      </c>
      <c r="D44" s="106">
        <f t="shared" si="31"/>
        <v>3.0179999999999998</v>
      </c>
      <c r="E44" s="5">
        <v>0</v>
      </c>
      <c r="F44" s="5">
        <v>0</v>
      </c>
      <c r="G44" s="5">
        <v>3.0179999999999998</v>
      </c>
      <c r="H44" s="5">
        <v>0</v>
      </c>
      <c r="I44" s="106">
        <f t="shared" si="26"/>
        <v>1.7030000000000001</v>
      </c>
      <c r="J44" s="5">
        <v>0</v>
      </c>
      <c r="K44" s="5">
        <v>0</v>
      </c>
      <c r="L44" s="5">
        <f>'10'!H42</f>
        <v>1.7030000000000001</v>
      </c>
      <c r="M44" s="5">
        <v>0</v>
      </c>
      <c r="N44" s="106">
        <f t="shared" si="39"/>
        <v>-1.3149999999999997</v>
      </c>
      <c r="O44" s="118" t="s">
        <v>284</v>
      </c>
      <c r="P44" s="106">
        <v>0</v>
      </c>
      <c r="Q44" s="118" t="s">
        <v>284</v>
      </c>
      <c r="R44" s="106">
        <v>0</v>
      </c>
      <c r="S44" s="118" t="s">
        <v>284</v>
      </c>
      <c r="T44" s="106">
        <f t="shared" si="40"/>
        <v>-1.3149999999999997</v>
      </c>
      <c r="U44" s="107">
        <f t="shared" si="38"/>
        <v>-43.571901921802514</v>
      </c>
      <c r="V44" s="5">
        <v>0</v>
      </c>
      <c r="W44" s="5">
        <v>0</v>
      </c>
      <c r="X44" s="344" t="s">
        <v>385</v>
      </c>
    </row>
    <row r="45" spans="1:24" ht="28.5">
      <c r="A45" s="108"/>
      <c r="B45" s="90" t="s">
        <v>441</v>
      </c>
      <c r="C45" s="101"/>
      <c r="D45" s="106">
        <f t="shared" si="31"/>
        <v>0</v>
      </c>
      <c r="E45" s="5">
        <v>0</v>
      </c>
      <c r="F45" s="5">
        <v>0</v>
      </c>
      <c r="G45" s="5">
        <v>0</v>
      </c>
      <c r="H45" s="5">
        <v>0</v>
      </c>
      <c r="I45" s="106">
        <f t="shared" si="26"/>
        <v>0</v>
      </c>
      <c r="J45" s="5">
        <v>0</v>
      </c>
      <c r="K45" s="5">
        <v>0</v>
      </c>
      <c r="L45" s="5">
        <v>0</v>
      </c>
      <c r="M45" s="5">
        <v>0</v>
      </c>
      <c r="N45" s="106">
        <f t="shared" si="9"/>
        <v>0</v>
      </c>
      <c r="O45" s="107"/>
      <c r="P45" s="106">
        <v>0</v>
      </c>
      <c r="Q45" s="107">
        <v>0</v>
      </c>
      <c r="R45" s="106">
        <v>0</v>
      </c>
      <c r="S45" s="107">
        <v>0</v>
      </c>
      <c r="T45" s="106">
        <f t="shared" si="11"/>
        <v>0</v>
      </c>
      <c r="U45" s="107"/>
      <c r="V45" s="5">
        <v>0</v>
      </c>
      <c r="W45" s="5">
        <v>0</v>
      </c>
      <c r="X45" s="344" t="s">
        <v>385</v>
      </c>
    </row>
    <row r="46" spans="1:24" s="54" customFormat="1" ht="30" customHeight="1">
      <c r="A46" s="373" t="s">
        <v>31</v>
      </c>
      <c r="B46" s="374"/>
      <c r="C46" s="375"/>
      <c r="D46" s="106">
        <f t="shared" si="31"/>
        <v>13.340000000000002</v>
      </c>
      <c r="E46" s="55">
        <f t="shared" ref="E46:W46" si="41">E19</f>
        <v>0</v>
      </c>
      <c r="F46" s="55">
        <f t="shared" si="41"/>
        <v>0</v>
      </c>
      <c r="G46" s="55">
        <f t="shared" si="41"/>
        <v>13.340000000000002</v>
      </c>
      <c r="H46" s="55">
        <f t="shared" si="41"/>
        <v>0</v>
      </c>
      <c r="I46" s="106">
        <f t="shared" si="26"/>
        <v>6.899</v>
      </c>
      <c r="J46" s="55">
        <f t="shared" ref="J46:M46" si="42">J19</f>
        <v>0</v>
      </c>
      <c r="K46" s="55">
        <f t="shared" si="42"/>
        <v>0</v>
      </c>
      <c r="L46" s="55">
        <f t="shared" si="42"/>
        <v>6.899</v>
      </c>
      <c r="M46" s="55">
        <f t="shared" si="42"/>
        <v>0</v>
      </c>
      <c r="N46" s="55">
        <f t="shared" si="41"/>
        <v>-6.4410000000000016</v>
      </c>
      <c r="O46" s="117">
        <f t="shared" si="41"/>
        <v>-48.283358320839589</v>
      </c>
      <c r="P46" s="55">
        <f t="shared" si="41"/>
        <v>0</v>
      </c>
      <c r="Q46" s="55">
        <f t="shared" si="41"/>
        <v>0</v>
      </c>
      <c r="R46" s="55">
        <f t="shared" si="41"/>
        <v>0</v>
      </c>
      <c r="S46" s="55">
        <f t="shared" si="41"/>
        <v>0</v>
      </c>
      <c r="T46" s="55">
        <f t="shared" si="41"/>
        <v>-6.4410000000000016</v>
      </c>
      <c r="U46" s="117">
        <f t="shared" si="41"/>
        <v>-48.283358320839589</v>
      </c>
      <c r="V46" s="55">
        <f t="shared" si="41"/>
        <v>0</v>
      </c>
      <c r="W46" s="55">
        <f t="shared" si="41"/>
        <v>0</v>
      </c>
      <c r="X46" s="344" t="s">
        <v>385</v>
      </c>
    </row>
    <row r="47" spans="1:24">
      <c r="A47" s="2"/>
    </row>
    <row r="48" spans="1:24">
      <c r="A48" s="2"/>
    </row>
  </sheetData>
  <mergeCells count="35">
    <mergeCell ref="I15:M15"/>
    <mergeCell ref="N15:O16"/>
    <mergeCell ref="L16:L17"/>
    <mergeCell ref="M16:M17"/>
    <mergeCell ref="V15:W16"/>
    <mergeCell ref="T15:U16"/>
    <mergeCell ref="R15:S16"/>
    <mergeCell ref="P15:Q16"/>
    <mergeCell ref="J16:J17"/>
    <mergeCell ref="K16:K17"/>
    <mergeCell ref="A46:C46"/>
    <mergeCell ref="A5:X5"/>
    <mergeCell ref="D16:D17"/>
    <mergeCell ref="E16:E17"/>
    <mergeCell ref="F16:F17"/>
    <mergeCell ref="G16:G17"/>
    <mergeCell ref="H16:H17"/>
    <mergeCell ref="I16:I17"/>
    <mergeCell ref="X13:X17"/>
    <mergeCell ref="A13:A17"/>
    <mergeCell ref="B13:B17"/>
    <mergeCell ref="C13:C17"/>
    <mergeCell ref="D13:M13"/>
    <mergeCell ref="N13:W14"/>
    <mergeCell ref="D14:M14"/>
    <mergeCell ref="D15:H15"/>
    <mergeCell ref="U1:X1"/>
    <mergeCell ref="A11:T11"/>
    <mergeCell ref="U3:X3"/>
    <mergeCell ref="U2:X2"/>
    <mergeCell ref="A6:T6"/>
    <mergeCell ref="A7:T7"/>
    <mergeCell ref="A8:T8"/>
    <mergeCell ref="A9:T9"/>
    <mergeCell ref="A10:T10"/>
  </mergeCells>
  <pageMargins left="0" right="0" top="0.35433070866141736" bottom="0.15748031496062992" header="0.31496062992125984" footer="0.31496062992125984"/>
  <pageSetup paperSize="9" scale="5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A12" zoomScale="90" zoomScaleNormal="90" workbookViewId="0">
      <pane xSplit="3" ySplit="4" topLeftCell="D16" activePane="bottomRight" state="frozen"/>
      <selection activeCell="A12" sqref="A12"/>
      <selection pane="topRight" activeCell="D12" sqref="D12"/>
      <selection pane="bottomLeft" activeCell="A16" sqref="A16"/>
      <selection pane="bottomRight" activeCell="T27" sqref="T27"/>
    </sheetView>
  </sheetViews>
  <sheetFormatPr defaultRowHeight="15"/>
  <cols>
    <col min="1" max="1" width="9.140625" customWidth="1"/>
    <col min="2" max="2" width="40.140625" customWidth="1"/>
    <col min="3" max="3" width="15.5703125" customWidth="1"/>
    <col min="4" max="4" width="18.7109375" customWidth="1"/>
    <col min="5" max="5" width="16.140625" customWidth="1"/>
    <col min="6" max="6" width="12.28515625" customWidth="1"/>
    <col min="7" max="7" width="14.5703125" customWidth="1"/>
    <col min="8" max="8" width="9.5703125" customWidth="1"/>
    <col min="16" max="16" width="9" customWidth="1"/>
    <col min="17" max="17" width="8.7109375" customWidth="1"/>
    <col min="18" max="18" width="11.5703125" customWidth="1"/>
    <col min="19" max="19" width="12.42578125" customWidth="1"/>
    <col min="20" max="20" width="13.140625" bestFit="1" customWidth="1"/>
    <col min="21" max="21" width="10.42578125" customWidth="1"/>
    <col min="22" max="22" width="15.5703125" customWidth="1"/>
  </cols>
  <sheetData>
    <row r="1" spans="1:27" ht="17.25" customHeight="1">
      <c r="T1" s="362" t="s">
        <v>153</v>
      </c>
      <c r="U1" s="362"/>
      <c r="V1" s="362"/>
    </row>
    <row r="2" spans="1:27" ht="14.25" customHeight="1">
      <c r="T2" s="362" t="s">
        <v>19</v>
      </c>
      <c r="U2" s="362"/>
      <c r="V2" s="362"/>
    </row>
    <row r="3" spans="1:27" ht="14.25" customHeight="1">
      <c r="T3" s="362" t="s">
        <v>20</v>
      </c>
      <c r="U3" s="362"/>
      <c r="V3" s="362"/>
    </row>
    <row r="4" spans="1:27" ht="20.25" customHeight="1">
      <c r="A4" s="347" t="s">
        <v>154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</row>
    <row r="5" spans="1:27" ht="16.5" customHeight="1">
      <c r="A5" s="347" t="s">
        <v>1135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27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45"/>
      <c r="V6" s="45"/>
      <c r="W6" s="45"/>
      <c r="X6" s="45"/>
      <c r="Y6" s="45"/>
      <c r="Z6" s="45"/>
      <c r="AA6" s="45"/>
    </row>
    <row r="7" spans="1:27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44"/>
      <c r="V7" s="44"/>
      <c r="W7" s="44"/>
      <c r="X7" s="44"/>
      <c r="Y7" s="44"/>
      <c r="Z7" s="44"/>
      <c r="AA7" s="44"/>
    </row>
    <row r="8" spans="1:27" ht="23.2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45"/>
      <c r="V8" s="45"/>
      <c r="W8" s="45"/>
      <c r="X8" s="45"/>
      <c r="Y8" s="45"/>
      <c r="Z8" s="45"/>
      <c r="AA8" s="45"/>
    </row>
    <row r="9" spans="1:27" ht="20.25" customHeight="1">
      <c r="A9" s="347" t="s">
        <v>1108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27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44"/>
      <c r="V10" s="44"/>
      <c r="W10" s="44"/>
      <c r="X10" s="44"/>
      <c r="Y10" s="44"/>
      <c r="Z10" s="44"/>
      <c r="AA10" s="44"/>
    </row>
    <row r="11" spans="1:27" ht="14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7" ht="105" customHeight="1">
      <c r="A12" s="377" t="s">
        <v>0</v>
      </c>
      <c r="B12" s="377" t="s">
        <v>1</v>
      </c>
      <c r="C12" s="377" t="s">
        <v>2</v>
      </c>
      <c r="D12" s="377" t="s">
        <v>23</v>
      </c>
      <c r="E12" s="377" t="s">
        <v>1119</v>
      </c>
      <c r="F12" s="376" t="s">
        <v>1120</v>
      </c>
      <c r="G12" s="376"/>
      <c r="H12" s="376" t="s">
        <v>1118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 t="s">
        <v>155</v>
      </c>
      <c r="S12" s="376"/>
      <c r="T12" s="384" t="s">
        <v>156</v>
      </c>
      <c r="U12" s="385"/>
      <c r="V12" s="377" t="s">
        <v>25</v>
      </c>
    </row>
    <row r="13" spans="1:27" ht="35.25" customHeight="1">
      <c r="A13" s="377"/>
      <c r="B13" s="377"/>
      <c r="C13" s="377"/>
      <c r="D13" s="377"/>
      <c r="E13" s="377"/>
      <c r="F13" s="376" t="s">
        <v>27</v>
      </c>
      <c r="G13" s="376" t="s">
        <v>28</v>
      </c>
      <c r="H13" s="376" t="s">
        <v>109</v>
      </c>
      <c r="I13" s="376"/>
      <c r="J13" s="376" t="s">
        <v>110</v>
      </c>
      <c r="K13" s="376"/>
      <c r="L13" s="376" t="s">
        <v>111</v>
      </c>
      <c r="M13" s="376"/>
      <c r="N13" s="376" t="s">
        <v>112</v>
      </c>
      <c r="O13" s="376"/>
      <c r="P13" s="378" t="s">
        <v>113</v>
      </c>
      <c r="Q13" s="379"/>
      <c r="R13" s="382" t="s">
        <v>27</v>
      </c>
      <c r="S13" s="376" t="s">
        <v>28</v>
      </c>
      <c r="T13" s="382" t="s">
        <v>114</v>
      </c>
      <c r="U13" s="382" t="s">
        <v>15</v>
      </c>
      <c r="V13" s="377"/>
    </row>
    <row r="14" spans="1:27" ht="43.5" customHeight="1">
      <c r="A14" s="377"/>
      <c r="B14" s="377"/>
      <c r="C14" s="377"/>
      <c r="D14" s="377"/>
      <c r="E14" s="377"/>
      <c r="F14" s="376"/>
      <c r="G14" s="376"/>
      <c r="H14" s="59" t="s">
        <v>6</v>
      </c>
      <c r="I14" s="59" t="s">
        <v>7</v>
      </c>
      <c r="J14" s="59" t="s">
        <v>6</v>
      </c>
      <c r="K14" s="59" t="s">
        <v>7</v>
      </c>
      <c r="L14" s="59" t="s">
        <v>6</v>
      </c>
      <c r="M14" s="59" t="s">
        <v>7</v>
      </c>
      <c r="N14" s="59" t="s">
        <v>6</v>
      </c>
      <c r="O14" s="59" t="s">
        <v>7</v>
      </c>
      <c r="P14" s="59" t="s">
        <v>6</v>
      </c>
      <c r="Q14" s="59" t="s">
        <v>7</v>
      </c>
      <c r="R14" s="383"/>
      <c r="S14" s="376"/>
      <c r="T14" s="383"/>
      <c r="U14" s="383"/>
      <c r="V14" s="377"/>
    </row>
    <row r="15" spans="1:27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 t="s">
        <v>157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  <c r="W15" s="18"/>
    </row>
    <row r="16" spans="1:27" ht="28.5">
      <c r="A16" s="83" t="s">
        <v>384</v>
      </c>
      <c r="B16" s="84" t="s">
        <v>31</v>
      </c>
      <c r="C16" s="100" t="s">
        <v>385</v>
      </c>
      <c r="D16" s="119">
        <f>D17+D18+D19+D20+D21+D22</f>
        <v>11.509499999999999</v>
      </c>
      <c r="E16" s="119">
        <f>E17+E18+E19+E20+E21+E22</f>
        <v>0</v>
      </c>
      <c r="F16" s="119">
        <f>F17+F18+F19+F20+F21+F22</f>
        <v>11.509499999999999</v>
      </c>
      <c r="G16" s="119">
        <f>G17+G18+G19+G20+G21+G22</f>
        <v>11.509499999999999</v>
      </c>
      <c r="H16" s="119">
        <f>H17+H18+H19+H20+H21+H22</f>
        <v>11.509500000000001</v>
      </c>
      <c r="I16" s="119">
        <f t="shared" ref="I16:Q16" si="0">I17+I18+I19+I20+I21+I22</f>
        <v>2.3559999999999999</v>
      </c>
      <c r="J16" s="119">
        <f t="shared" si="0"/>
        <v>0.5</v>
      </c>
      <c r="K16" s="119">
        <f t="shared" si="0"/>
        <v>0.48399999999999999</v>
      </c>
      <c r="L16" s="119">
        <f t="shared" si="0"/>
        <v>0</v>
      </c>
      <c r="M16" s="119">
        <f t="shared" si="0"/>
        <v>1.8720000000000001</v>
      </c>
      <c r="N16" s="119">
        <f t="shared" si="0"/>
        <v>2.2615000000000003</v>
      </c>
      <c r="O16" s="119">
        <f t="shared" si="0"/>
        <v>0</v>
      </c>
      <c r="P16" s="119">
        <f t="shared" si="0"/>
        <v>8.7480000000000011</v>
      </c>
      <c r="Q16" s="119">
        <f t="shared" si="0"/>
        <v>0</v>
      </c>
      <c r="R16" s="119">
        <f>J16+L16-M16-K16</f>
        <v>-1.8560000000000001</v>
      </c>
      <c r="S16" s="119">
        <f>R16</f>
        <v>-1.8560000000000001</v>
      </c>
      <c r="T16" s="119">
        <f>K16+M16-J16-L16</f>
        <v>1.8559999999999999</v>
      </c>
      <c r="U16" s="116">
        <f>T16/(J16+L16)*100</f>
        <v>371.2</v>
      </c>
      <c r="V16" s="344" t="s">
        <v>385</v>
      </c>
      <c r="W16" s="109"/>
    </row>
    <row r="17" spans="1:23" ht="15.75">
      <c r="A17" s="85" t="s">
        <v>386</v>
      </c>
      <c r="B17" s="86" t="s">
        <v>387</v>
      </c>
      <c r="C17" s="101" t="s">
        <v>385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19">
        <f t="shared" ref="R17:R43" si="1">J17+L17-M17-K17</f>
        <v>0</v>
      </c>
      <c r="S17" s="119">
        <f t="shared" ref="S17:S42" si="2">R17</f>
        <v>0</v>
      </c>
      <c r="T17" s="119">
        <f t="shared" ref="T17:T42" si="3">K17+M17-J17-L17</f>
        <v>0</v>
      </c>
      <c r="U17" s="116" t="e">
        <f t="shared" ref="U17:U20" si="4">T17/(J17+L17)*100</f>
        <v>#DIV/0!</v>
      </c>
      <c r="V17" s="344" t="s">
        <v>385</v>
      </c>
      <c r="W17" s="109"/>
    </row>
    <row r="18" spans="1:23" ht="30">
      <c r="A18" s="87" t="s">
        <v>388</v>
      </c>
      <c r="B18" s="88" t="s">
        <v>389</v>
      </c>
      <c r="C18" s="101" t="s">
        <v>385</v>
      </c>
      <c r="D18" s="119">
        <f>D24</f>
        <v>8.1824999999999992</v>
      </c>
      <c r="E18" s="119">
        <f>E24</f>
        <v>0</v>
      </c>
      <c r="F18" s="119">
        <f>F24</f>
        <v>8.1824999999999992</v>
      </c>
      <c r="G18" s="119">
        <f>G24</f>
        <v>8.1824999999999992</v>
      </c>
      <c r="H18" s="119">
        <f>H24</f>
        <v>8.182500000000001</v>
      </c>
      <c r="I18" s="119">
        <f t="shared" ref="I18:Q18" si="5">I24</f>
        <v>1.8140000000000001</v>
      </c>
      <c r="J18" s="119">
        <f t="shared" si="5"/>
        <v>0.25</v>
      </c>
      <c r="K18" s="119">
        <f t="shared" si="5"/>
        <v>0.23400000000000001</v>
      </c>
      <c r="L18" s="119">
        <f t="shared" si="5"/>
        <v>0</v>
      </c>
      <c r="M18" s="119">
        <f t="shared" si="5"/>
        <v>1.58</v>
      </c>
      <c r="N18" s="119">
        <f t="shared" si="5"/>
        <v>2.2615000000000003</v>
      </c>
      <c r="O18" s="119">
        <f t="shared" si="5"/>
        <v>0</v>
      </c>
      <c r="P18" s="119">
        <f t="shared" si="5"/>
        <v>5.6710000000000003</v>
      </c>
      <c r="Q18" s="119">
        <f t="shared" si="5"/>
        <v>0</v>
      </c>
      <c r="R18" s="119">
        <f t="shared" si="1"/>
        <v>-1.5640000000000001</v>
      </c>
      <c r="S18" s="119">
        <f t="shared" si="2"/>
        <v>-1.5640000000000001</v>
      </c>
      <c r="T18" s="119">
        <f t="shared" si="3"/>
        <v>1.5640000000000001</v>
      </c>
      <c r="U18" s="116">
        <f t="shared" si="4"/>
        <v>625.6</v>
      </c>
      <c r="V18" s="344" t="s">
        <v>385</v>
      </c>
      <c r="W18" s="109"/>
    </row>
    <row r="19" spans="1:23" ht="60">
      <c r="A19" s="87" t="s">
        <v>390</v>
      </c>
      <c r="B19" s="88" t="s">
        <v>391</v>
      </c>
      <c r="C19" s="101" t="s">
        <v>385</v>
      </c>
      <c r="D19" s="106">
        <v>0</v>
      </c>
      <c r="E19" s="106">
        <v>0</v>
      </c>
      <c r="F19" s="106">
        <v>0</v>
      </c>
      <c r="G19" s="106">
        <v>0</v>
      </c>
      <c r="H19" s="106">
        <f t="shared" ref="H19:H26" si="6">J19+L19+N19+P19</f>
        <v>0</v>
      </c>
      <c r="I19" s="106">
        <f t="shared" ref="I19:I26" si="7">K19+M19+O19+Q19</f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19">
        <f t="shared" si="1"/>
        <v>0</v>
      </c>
      <c r="S19" s="119">
        <f t="shared" si="2"/>
        <v>0</v>
      </c>
      <c r="T19" s="119">
        <f t="shared" si="3"/>
        <v>0</v>
      </c>
      <c r="U19" s="116" t="e">
        <f t="shared" si="4"/>
        <v>#DIV/0!</v>
      </c>
      <c r="V19" s="344" t="s">
        <v>385</v>
      </c>
      <c r="W19" s="109"/>
    </row>
    <row r="20" spans="1:23" ht="30">
      <c r="A20" s="87" t="s">
        <v>392</v>
      </c>
      <c r="B20" s="86" t="s">
        <v>393</v>
      </c>
      <c r="C20" s="101" t="s">
        <v>385</v>
      </c>
      <c r="D20" s="106">
        <f>D38</f>
        <v>3.327</v>
      </c>
      <c r="E20" s="106">
        <f>E38</f>
        <v>0</v>
      </c>
      <c r="F20" s="106">
        <f>F38</f>
        <v>3.327</v>
      </c>
      <c r="G20" s="106">
        <f>G38</f>
        <v>3.327</v>
      </c>
      <c r="H20" s="106">
        <f t="shared" si="6"/>
        <v>3.327</v>
      </c>
      <c r="I20" s="106">
        <f t="shared" si="7"/>
        <v>0.54200000000000004</v>
      </c>
      <c r="J20" s="106">
        <f t="shared" ref="J20:Q20" si="8">J38</f>
        <v>0.25</v>
      </c>
      <c r="K20" s="106">
        <f t="shared" si="8"/>
        <v>0.25</v>
      </c>
      <c r="L20" s="106">
        <f t="shared" si="8"/>
        <v>0</v>
      </c>
      <c r="M20" s="106">
        <f t="shared" si="8"/>
        <v>0.29200000000000004</v>
      </c>
      <c r="N20" s="106">
        <f t="shared" si="8"/>
        <v>0</v>
      </c>
      <c r="O20" s="106">
        <f t="shared" si="8"/>
        <v>0</v>
      </c>
      <c r="P20" s="106">
        <f t="shared" si="8"/>
        <v>3.077</v>
      </c>
      <c r="Q20" s="106">
        <f t="shared" si="8"/>
        <v>0</v>
      </c>
      <c r="R20" s="119">
        <f t="shared" si="1"/>
        <v>-0.29200000000000004</v>
      </c>
      <c r="S20" s="119">
        <f t="shared" si="2"/>
        <v>-0.29200000000000004</v>
      </c>
      <c r="T20" s="119">
        <f t="shared" si="3"/>
        <v>0.29200000000000004</v>
      </c>
      <c r="U20" s="116">
        <f t="shared" si="4"/>
        <v>116.80000000000001</v>
      </c>
      <c r="V20" s="344" t="s">
        <v>385</v>
      </c>
      <c r="W20" s="109"/>
    </row>
    <row r="21" spans="1:23" ht="45.75" customHeight="1">
      <c r="A21" s="87" t="s">
        <v>394</v>
      </c>
      <c r="B21" s="86" t="s">
        <v>395</v>
      </c>
      <c r="C21" s="101" t="s">
        <v>385</v>
      </c>
      <c r="D21" s="106">
        <v>0</v>
      </c>
      <c r="E21" s="106">
        <v>0</v>
      </c>
      <c r="F21" s="106">
        <v>0</v>
      </c>
      <c r="G21" s="106">
        <v>0</v>
      </c>
      <c r="H21" s="106">
        <f t="shared" si="6"/>
        <v>0</v>
      </c>
      <c r="I21" s="106">
        <f t="shared" si="7"/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19">
        <f t="shared" si="1"/>
        <v>0</v>
      </c>
      <c r="S21" s="119">
        <f t="shared" si="2"/>
        <v>0</v>
      </c>
      <c r="T21" s="119">
        <f t="shared" si="3"/>
        <v>0</v>
      </c>
      <c r="U21" s="116"/>
      <c r="V21" s="344" t="s">
        <v>385</v>
      </c>
      <c r="W21" s="109"/>
    </row>
    <row r="22" spans="1:23" ht="14.25" customHeight="1">
      <c r="A22" s="87" t="s">
        <v>396</v>
      </c>
      <c r="B22" s="86" t="s">
        <v>397</v>
      </c>
      <c r="C22" s="101" t="s">
        <v>385</v>
      </c>
      <c r="D22" s="106">
        <v>0</v>
      </c>
      <c r="E22" s="106">
        <v>0</v>
      </c>
      <c r="F22" s="106">
        <v>0</v>
      </c>
      <c r="G22" s="106">
        <v>0</v>
      </c>
      <c r="H22" s="106">
        <f t="shared" si="6"/>
        <v>0</v>
      </c>
      <c r="I22" s="106">
        <f t="shared" si="7"/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19">
        <f t="shared" si="1"/>
        <v>0</v>
      </c>
      <c r="S22" s="119">
        <f t="shared" si="2"/>
        <v>0</v>
      </c>
      <c r="T22" s="119">
        <f t="shared" si="3"/>
        <v>0</v>
      </c>
      <c r="U22" s="116"/>
      <c r="V22" s="344" t="s">
        <v>385</v>
      </c>
      <c r="W22" s="109"/>
    </row>
    <row r="23" spans="1:23" ht="15.75">
      <c r="A23" s="89" t="s">
        <v>398</v>
      </c>
      <c r="B23" s="90" t="s">
        <v>399</v>
      </c>
      <c r="C23" s="101" t="s">
        <v>385</v>
      </c>
      <c r="D23" s="106">
        <f>D24+D38</f>
        <v>11.509499999999999</v>
      </c>
      <c r="E23" s="106">
        <f>E24+E38</f>
        <v>0</v>
      </c>
      <c r="F23" s="106">
        <f>F24+F38</f>
        <v>11.509499999999999</v>
      </c>
      <c r="G23" s="106">
        <f>G24+G38</f>
        <v>11.509499999999999</v>
      </c>
      <c r="H23" s="106">
        <f t="shared" si="6"/>
        <v>11.509500000000001</v>
      </c>
      <c r="I23" s="106">
        <f t="shared" si="7"/>
        <v>2.3559999999999999</v>
      </c>
      <c r="J23" s="106">
        <f t="shared" ref="J23:Q23" si="9">J24+J38</f>
        <v>0.5</v>
      </c>
      <c r="K23" s="106">
        <f t="shared" si="9"/>
        <v>0.48399999999999999</v>
      </c>
      <c r="L23" s="106">
        <f t="shared" si="9"/>
        <v>0</v>
      </c>
      <c r="M23" s="106">
        <f t="shared" si="9"/>
        <v>1.8720000000000001</v>
      </c>
      <c r="N23" s="106">
        <f t="shared" si="9"/>
        <v>2.2615000000000003</v>
      </c>
      <c r="O23" s="106">
        <f t="shared" si="9"/>
        <v>0</v>
      </c>
      <c r="P23" s="106">
        <f t="shared" si="9"/>
        <v>8.7480000000000011</v>
      </c>
      <c r="Q23" s="106">
        <f t="shared" si="9"/>
        <v>0</v>
      </c>
      <c r="R23" s="119">
        <f t="shared" si="1"/>
        <v>-1.8560000000000001</v>
      </c>
      <c r="S23" s="119">
        <f t="shared" si="2"/>
        <v>-1.8560000000000001</v>
      </c>
      <c r="T23" s="119">
        <f t="shared" si="3"/>
        <v>1.8559999999999999</v>
      </c>
      <c r="U23" s="116">
        <f t="shared" ref="U23:U24" si="10">T23/(J23+L23)*100</f>
        <v>371.2</v>
      </c>
      <c r="V23" s="344" t="s">
        <v>385</v>
      </c>
      <c r="W23" s="109"/>
    </row>
    <row r="24" spans="1:23" ht="42.75">
      <c r="A24" s="89" t="s">
        <v>400</v>
      </c>
      <c r="B24" s="90" t="s">
        <v>401</v>
      </c>
      <c r="C24" s="101" t="s">
        <v>385</v>
      </c>
      <c r="D24" s="106">
        <f>D25+D27+D34</f>
        <v>8.1824999999999992</v>
      </c>
      <c r="E24" s="106">
        <f>E25+E27+E34</f>
        <v>0</v>
      </c>
      <c r="F24" s="106">
        <f>F25+F27+F34</f>
        <v>8.1824999999999992</v>
      </c>
      <c r="G24" s="106">
        <f>G25+G27+G34</f>
        <v>8.1824999999999992</v>
      </c>
      <c r="H24" s="106">
        <f t="shared" si="6"/>
        <v>8.182500000000001</v>
      </c>
      <c r="I24" s="106">
        <f t="shared" si="7"/>
        <v>1.8140000000000001</v>
      </c>
      <c r="J24" s="106">
        <f t="shared" ref="J24:Q24" si="11">J25+J27+J34</f>
        <v>0.25</v>
      </c>
      <c r="K24" s="106">
        <f t="shared" si="11"/>
        <v>0.23400000000000001</v>
      </c>
      <c r="L24" s="106">
        <f t="shared" si="11"/>
        <v>0</v>
      </c>
      <c r="M24" s="106">
        <f t="shared" si="11"/>
        <v>1.58</v>
      </c>
      <c r="N24" s="106">
        <f t="shared" si="11"/>
        <v>2.2615000000000003</v>
      </c>
      <c r="O24" s="106">
        <f t="shared" si="11"/>
        <v>0</v>
      </c>
      <c r="P24" s="106">
        <f t="shared" si="11"/>
        <v>5.6710000000000003</v>
      </c>
      <c r="Q24" s="106">
        <f t="shared" si="11"/>
        <v>0</v>
      </c>
      <c r="R24" s="119">
        <f t="shared" si="1"/>
        <v>-1.5640000000000001</v>
      </c>
      <c r="S24" s="119">
        <f t="shared" si="2"/>
        <v>-1.5640000000000001</v>
      </c>
      <c r="T24" s="119">
        <f t="shared" si="3"/>
        <v>1.5640000000000001</v>
      </c>
      <c r="U24" s="116">
        <f t="shared" si="10"/>
        <v>625.6</v>
      </c>
      <c r="V24" s="344" t="s">
        <v>385</v>
      </c>
      <c r="W24" s="109"/>
    </row>
    <row r="25" spans="1:23" ht="60.75" customHeight="1">
      <c r="A25" s="89" t="s">
        <v>402</v>
      </c>
      <c r="B25" s="86" t="s">
        <v>403</v>
      </c>
      <c r="C25" s="101" t="s">
        <v>385</v>
      </c>
      <c r="D25" s="106">
        <f>D26</f>
        <v>0</v>
      </c>
      <c r="E25" s="106">
        <f>E26</f>
        <v>0</v>
      </c>
      <c r="F25" s="106">
        <f>F26</f>
        <v>0</v>
      </c>
      <c r="G25" s="106">
        <f>G26</f>
        <v>0</v>
      </c>
      <c r="H25" s="106">
        <f t="shared" si="6"/>
        <v>0</v>
      </c>
      <c r="I25" s="106">
        <f t="shared" si="7"/>
        <v>0</v>
      </c>
      <c r="J25" s="106">
        <f t="shared" ref="J25:Q25" si="12">J26</f>
        <v>0</v>
      </c>
      <c r="K25" s="106">
        <f t="shared" si="12"/>
        <v>0</v>
      </c>
      <c r="L25" s="106">
        <f t="shared" si="12"/>
        <v>0</v>
      </c>
      <c r="M25" s="106">
        <f t="shared" si="12"/>
        <v>0</v>
      </c>
      <c r="N25" s="106">
        <f t="shared" si="12"/>
        <v>0</v>
      </c>
      <c r="O25" s="106">
        <f t="shared" si="12"/>
        <v>0</v>
      </c>
      <c r="P25" s="106">
        <f t="shared" si="12"/>
        <v>0</v>
      </c>
      <c r="Q25" s="106">
        <f t="shared" si="12"/>
        <v>0</v>
      </c>
      <c r="R25" s="119">
        <f t="shared" si="1"/>
        <v>0</v>
      </c>
      <c r="S25" s="119">
        <f t="shared" si="2"/>
        <v>0</v>
      </c>
      <c r="T25" s="119">
        <f t="shared" si="3"/>
        <v>0</v>
      </c>
      <c r="U25" s="116"/>
      <c r="V25" s="344" t="s">
        <v>385</v>
      </c>
      <c r="W25" s="109"/>
    </row>
    <row r="26" spans="1:23" ht="30">
      <c r="A26" s="87" t="s">
        <v>404</v>
      </c>
      <c r="B26" s="86" t="s">
        <v>405</v>
      </c>
      <c r="C26" s="101" t="s">
        <v>385</v>
      </c>
      <c r="D26" s="106">
        <v>0</v>
      </c>
      <c r="E26" s="106">
        <v>0</v>
      </c>
      <c r="F26" s="106">
        <v>0</v>
      </c>
      <c r="G26" s="106">
        <v>0</v>
      </c>
      <c r="H26" s="106">
        <f t="shared" si="6"/>
        <v>0</v>
      </c>
      <c r="I26" s="106">
        <f t="shared" si="7"/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19">
        <f t="shared" si="1"/>
        <v>0</v>
      </c>
      <c r="S26" s="119">
        <f t="shared" si="2"/>
        <v>0</v>
      </c>
      <c r="T26" s="119">
        <f t="shared" si="3"/>
        <v>0</v>
      </c>
      <c r="U26" s="116"/>
      <c r="V26" s="344" t="s">
        <v>385</v>
      </c>
      <c r="W26" s="109"/>
    </row>
    <row r="27" spans="1:23" ht="45">
      <c r="A27" s="89" t="s">
        <v>406</v>
      </c>
      <c r="B27" s="86" t="s">
        <v>407</v>
      </c>
      <c r="C27" s="101" t="s">
        <v>385</v>
      </c>
      <c r="D27" s="106">
        <f>D28+D32</f>
        <v>6.4032999999999998</v>
      </c>
      <c r="E27" s="106">
        <f>E28+E32</f>
        <v>0</v>
      </c>
      <c r="F27" s="106">
        <f>F28+F32</f>
        <v>6.4032999999999998</v>
      </c>
      <c r="G27" s="106">
        <f>G28+G32</f>
        <v>6.4032999999999998</v>
      </c>
      <c r="H27" s="106">
        <f t="shared" ref="H27:I30" si="13">J27+L27+N27+P27</f>
        <v>6.4032</v>
      </c>
      <c r="I27" s="106">
        <f t="shared" si="13"/>
        <v>1.8140000000000001</v>
      </c>
      <c r="J27" s="106">
        <f t="shared" ref="J27:Q27" si="14">J28+J32</f>
        <v>0.25</v>
      </c>
      <c r="K27" s="106">
        <f t="shared" si="14"/>
        <v>0.23400000000000001</v>
      </c>
      <c r="L27" s="106">
        <f t="shared" si="14"/>
        <v>0</v>
      </c>
      <c r="M27" s="106">
        <f t="shared" si="14"/>
        <v>1.58</v>
      </c>
      <c r="N27" s="106">
        <f t="shared" si="14"/>
        <v>0.48220000000000002</v>
      </c>
      <c r="O27" s="106">
        <f t="shared" si="14"/>
        <v>0</v>
      </c>
      <c r="P27" s="106">
        <f t="shared" si="14"/>
        <v>5.6710000000000003</v>
      </c>
      <c r="Q27" s="106">
        <f t="shared" si="14"/>
        <v>0</v>
      </c>
      <c r="R27" s="119">
        <f t="shared" si="1"/>
        <v>-1.5640000000000001</v>
      </c>
      <c r="S27" s="119">
        <f t="shared" si="2"/>
        <v>-1.5640000000000001</v>
      </c>
      <c r="T27" s="119">
        <f t="shared" si="3"/>
        <v>1.5640000000000001</v>
      </c>
      <c r="U27" s="116">
        <f t="shared" ref="U27:U43" si="15">T27/(J27+L27)*100</f>
        <v>625.6</v>
      </c>
      <c r="V27" s="344" t="s">
        <v>385</v>
      </c>
      <c r="W27" s="109"/>
    </row>
    <row r="28" spans="1:23" ht="30">
      <c r="A28" s="87" t="s">
        <v>408</v>
      </c>
      <c r="B28" s="86" t="s">
        <v>409</v>
      </c>
      <c r="C28" s="101" t="s">
        <v>385</v>
      </c>
      <c r="D28" s="106">
        <f>D30+D31+D29</f>
        <v>5.9211</v>
      </c>
      <c r="E28" s="106">
        <f t="shared" ref="E28:G28" si="16">E30+E31+E29</f>
        <v>0</v>
      </c>
      <c r="F28" s="106">
        <f t="shared" si="16"/>
        <v>5.9211</v>
      </c>
      <c r="G28" s="106">
        <f t="shared" si="16"/>
        <v>5.9211</v>
      </c>
      <c r="H28" s="106">
        <f t="shared" si="13"/>
        <v>5.9210000000000003</v>
      </c>
      <c r="I28" s="106">
        <f t="shared" si="13"/>
        <v>1.8140000000000001</v>
      </c>
      <c r="J28" s="106">
        <f t="shared" ref="J28:Q28" si="17">J30+J31+J29</f>
        <v>0.25</v>
      </c>
      <c r="K28" s="106">
        <f t="shared" si="17"/>
        <v>0.23400000000000001</v>
      </c>
      <c r="L28" s="106">
        <f t="shared" si="17"/>
        <v>0</v>
      </c>
      <c r="M28" s="106">
        <f t="shared" si="17"/>
        <v>1.58</v>
      </c>
      <c r="N28" s="106">
        <f t="shared" si="17"/>
        <v>0</v>
      </c>
      <c r="O28" s="106">
        <f t="shared" si="17"/>
        <v>0</v>
      </c>
      <c r="P28" s="106">
        <f t="shared" si="17"/>
        <v>5.6710000000000003</v>
      </c>
      <c r="Q28" s="106">
        <f t="shared" si="17"/>
        <v>0</v>
      </c>
      <c r="R28" s="119">
        <f t="shared" si="1"/>
        <v>-1.5640000000000001</v>
      </c>
      <c r="S28" s="119">
        <f t="shared" si="2"/>
        <v>-1.5640000000000001</v>
      </c>
      <c r="T28" s="119">
        <f t="shared" si="3"/>
        <v>1.5640000000000001</v>
      </c>
      <c r="U28" s="116">
        <f t="shared" si="15"/>
        <v>625.6</v>
      </c>
      <c r="V28" s="344" t="s">
        <v>385</v>
      </c>
      <c r="W28" s="109"/>
    </row>
    <row r="29" spans="1:23" ht="52.5" customHeight="1">
      <c r="A29" s="91" t="s">
        <v>410</v>
      </c>
      <c r="B29" s="92" t="s">
        <v>411</v>
      </c>
      <c r="C29" s="102" t="s">
        <v>412</v>
      </c>
      <c r="D29" s="106">
        <v>0.84809999999999997</v>
      </c>
      <c r="E29" s="106">
        <v>0</v>
      </c>
      <c r="F29" s="106">
        <f>D29</f>
        <v>0.84809999999999997</v>
      </c>
      <c r="G29" s="106">
        <f>F29</f>
        <v>0.84809999999999997</v>
      </c>
      <c r="H29" s="106">
        <f t="shared" si="13"/>
        <v>0.84799999999999998</v>
      </c>
      <c r="I29" s="106">
        <f t="shared" si="13"/>
        <v>0.01</v>
      </c>
      <c r="J29" s="106">
        <v>0</v>
      </c>
      <c r="K29" s="106">
        <v>0</v>
      </c>
      <c r="L29" s="106">
        <v>0</v>
      </c>
      <c r="M29" s="106">
        <v>0.01</v>
      </c>
      <c r="N29" s="106">
        <v>0</v>
      </c>
      <c r="O29" s="106">
        <v>0</v>
      </c>
      <c r="P29" s="106">
        <v>0.84799999999999998</v>
      </c>
      <c r="Q29" s="106">
        <v>0</v>
      </c>
      <c r="R29" s="119">
        <f t="shared" si="1"/>
        <v>-0.01</v>
      </c>
      <c r="S29" s="119">
        <f t="shared" si="2"/>
        <v>-0.01</v>
      </c>
      <c r="T29" s="119">
        <f t="shared" si="3"/>
        <v>0.01</v>
      </c>
      <c r="U29" s="116" t="e">
        <f t="shared" si="15"/>
        <v>#DIV/0!</v>
      </c>
      <c r="V29" s="344" t="s">
        <v>385</v>
      </c>
      <c r="W29" s="109"/>
    </row>
    <row r="30" spans="1:23" ht="90" hidden="1">
      <c r="A30" s="91" t="s">
        <v>442</v>
      </c>
      <c r="B30" s="92" t="s">
        <v>414</v>
      </c>
      <c r="C30" s="102" t="s">
        <v>308</v>
      </c>
      <c r="D30" s="106"/>
      <c r="E30" s="106">
        <v>0</v>
      </c>
      <c r="F30" s="106">
        <f>D30</f>
        <v>0</v>
      </c>
      <c r="G30" s="106">
        <f>D30</f>
        <v>0</v>
      </c>
      <c r="H30" s="106">
        <f t="shared" si="13"/>
        <v>0</v>
      </c>
      <c r="I30" s="106">
        <f t="shared" si="13"/>
        <v>0</v>
      </c>
      <c r="J30" s="106"/>
      <c r="K30" s="106"/>
      <c r="L30" s="106"/>
      <c r="M30" s="106"/>
      <c r="N30" s="106"/>
      <c r="O30" s="106"/>
      <c r="P30" s="106"/>
      <c r="Q30" s="106">
        <v>0</v>
      </c>
      <c r="R30" s="119">
        <f t="shared" si="1"/>
        <v>0</v>
      </c>
      <c r="S30" s="119">
        <f t="shared" si="2"/>
        <v>0</v>
      </c>
      <c r="T30" s="119">
        <f t="shared" si="3"/>
        <v>0</v>
      </c>
      <c r="U30" s="116" t="e">
        <f t="shared" si="15"/>
        <v>#DIV/0!</v>
      </c>
      <c r="V30" s="344" t="s">
        <v>385</v>
      </c>
      <c r="W30" s="109"/>
    </row>
    <row r="31" spans="1:23" ht="60">
      <c r="A31" s="91" t="s">
        <v>443</v>
      </c>
      <c r="B31" s="92" t="s">
        <v>416</v>
      </c>
      <c r="C31" s="102" t="s">
        <v>417</v>
      </c>
      <c r="D31" s="106">
        <f>4.238+0.835</f>
        <v>5.0730000000000004</v>
      </c>
      <c r="E31" s="106">
        <v>0</v>
      </c>
      <c r="F31" s="106">
        <f>D31</f>
        <v>5.0730000000000004</v>
      </c>
      <c r="G31" s="106">
        <f>F31</f>
        <v>5.0730000000000004</v>
      </c>
      <c r="H31" s="106">
        <f t="shared" ref="H31:H41" si="18">J31+L31+N31+P31</f>
        <v>5.0730000000000004</v>
      </c>
      <c r="I31" s="106">
        <f t="shared" ref="I31:I41" si="19">K31+M31+O31+Q31</f>
        <v>1.804</v>
      </c>
      <c r="J31" s="106">
        <v>0.25</v>
      </c>
      <c r="K31" s="106">
        <v>0.23400000000000001</v>
      </c>
      <c r="L31" s="106">
        <v>0</v>
      </c>
      <c r="M31" s="106">
        <v>1.57</v>
      </c>
      <c r="N31" s="106">
        <v>0</v>
      </c>
      <c r="O31" s="106">
        <v>0</v>
      </c>
      <c r="P31" s="106">
        <v>4.8230000000000004</v>
      </c>
      <c r="Q31" s="106">
        <v>0</v>
      </c>
      <c r="R31" s="119">
        <f t="shared" si="1"/>
        <v>-1.554</v>
      </c>
      <c r="S31" s="119">
        <f t="shared" si="2"/>
        <v>-1.554</v>
      </c>
      <c r="T31" s="119">
        <f t="shared" si="3"/>
        <v>1.554</v>
      </c>
      <c r="U31" s="116">
        <f t="shared" si="15"/>
        <v>621.6</v>
      </c>
      <c r="V31" s="344" t="s">
        <v>385</v>
      </c>
      <c r="W31" s="109"/>
    </row>
    <row r="32" spans="1:23" ht="47.25">
      <c r="A32" s="114" t="s">
        <v>418</v>
      </c>
      <c r="B32" s="105" t="s">
        <v>419</v>
      </c>
      <c r="C32" s="103" t="s">
        <v>385</v>
      </c>
      <c r="D32" s="106">
        <f>D33</f>
        <v>0.48220000000000002</v>
      </c>
      <c r="E32" s="106">
        <f>E33</f>
        <v>0</v>
      </c>
      <c r="F32" s="106">
        <f t="shared" ref="F32:F33" si="20">D32</f>
        <v>0.48220000000000002</v>
      </c>
      <c r="G32" s="106">
        <f>G33</f>
        <v>0.48220000000000002</v>
      </c>
      <c r="H32" s="106">
        <f t="shared" si="18"/>
        <v>0.48220000000000002</v>
      </c>
      <c r="I32" s="106">
        <f t="shared" si="19"/>
        <v>0</v>
      </c>
      <c r="J32" s="106">
        <f t="shared" ref="J32:Q32" si="21">J33</f>
        <v>0</v>
      </c>
      <c r="K32" s="106">
        <f t="shared" si="21"/>
        <v>0</v>
      </c>
      <c r="L32" s="106">
        <f t="shared" si="21"/>
        <v>0</v>
      </c>
      <c r="M32" s="106">
        <f t="shared" si="21"/>
        <v>0</v>
      </c>
      <c r="N32" s="106">
        <f t="shared" si="21"/>
        <v>0.48220000000000002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19">
        <f t="shared" si="1"/>
        <v>0</v>
      </c>
      <c r="S32" s="119">
        <f t="shared" si="2"/>
        <v>0</v>
      </c>
      <c r="T32" s="119">
        <f t="shared" si="3"/>
        <v>0</v>
      </c>
      <c r="U32" s="116" t="e">
        <f t="shared" si="15"/>
        <v>#DIV/0!</v>
      </c>
      <c r="V32" s="344" t="s">
        <v>385</v>
      </c>
      <c r="W32" s="109"/>
    </row>
    <row r="33" spans="1:23" ht="63">
      <c r="A33" s="93" t="s">
        <v>420</v>
      </c>
      <c r="B33" s="94" t="s">
        <v>421</v>
      </c>
      <c r="C33" s="103" t="s">
        <v>422</v>
      </c>
      <c r="D33" s="106">
        <v>0.48220000000000002</v>
      </c>
      <c r="E33" s="106">
        <v>0</v>
      </c>
      <c r="F33" s="106">
        <f t="shared" si="20"/>
        <v>0.48220000000000002</v>
      </c>
      <c r="G33" s="106">
        <f>F33</f>
        <v>0.48220000000000002</v>
      </c>
      <c r="H33" s="106">
        <f t="shared" si="18"/>
        <v>0.48220000000000002</v>
      </c>
      <c r="I33" s="106">
        <f t="shared" si="19"/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0.48220000000000002</v>
      </c>
      <c r="O33" s="106">
        <v>0</v>
      </c>
      <c r="P33" s="106">
        <v>0</v>
      </c>
      <c r="Q33" s="106">
        <v>0</v>
      </c>
      <c r="R33" s="119">
        <f t="shared" si="1"/>
        <v>0</v>
      </c>
      <c r="S33" s="119">
        <f t="shared" si="2"/>
        <v>0</v>
      </c>
      <c r="T33" s="119">
        <f t="shared" si="3"/>
        <v>0</v>
      </c>
      <c r="U33" s="116" t="e">
        <f t="shared" si="15"/>
        <v>#DIV/0!</v>
      </c>
      <c r="V33" s="344" t="s">
        <v>385</v>
      </c>
      <c r="W33" s="109"/>
    </row>
    <row r="34" spans="1:23" ht="42.75">
      <c r="A34" s="89" t="s">
        <v>423</v>
      </c>
      <c r="B34" s="95" t="s">
        <v>424</v>
      </c>
      <c r="C34" s="104" t="s">
        <v>385</v>
      </c>
      <c r="D34" s="106">
        <f t="shared" ref="D34:Q34" si="22">D35</f>
        <v>1.7791999999999999</v>
      </c>
      <c r="E34" s="106">
        <f t="shared" si="22"/>
        <v>0</v>
      </c>
      <c r="F34" s="106">
        <f t="shared" si="22"/>
        <v>1.7791999999999999</v>
      </c>
      <c r="G34" s="106">
        <f t="shared" si="22"/>
        <v>1.7791999999999999</v>
      </c>
      <c r="H34" s="106">
        <f t="shared" si="18"/>
        <v>1.7793000000000001</v>
      </c>
      <c r="I34" s="106">
        <f t="shared" si="19"/>
        <v>0</v>
      </c>
      <c r="J34" s="106">
        <f t="shared" si="22"/>
        <v>0</v>
      </c>
      <c r="K34" s="106">
        <f t="shared" si="22"/>
        <v>0</v>
      </c>
      <c r="L34" s="106">
        <f t="shared" si="22"/>
        <v>0</v>
      </c>
      <c r="M34" s="106">
        <f t="shared" si="22"/>
        <v>0</v>
      </c>
      <c r="N34" s="106">
        <f t="shared" si="22"/>
        <v>1.7793000000000001</v>
      </c>
      <c r="O34" s="106">
        <f t="shared" si="22"/>
        <v>0</v>
      </c>
      <c r="P34" s="106">
        <f t="shared" si="22"/>
        <v>0</v>
      </c>
      <c r="Q34" s="106">
        <f t="shared" si="22"/>
        <v>0</v>
      </c>
      <c r="R34" s="119">
        <f t="shared" si="1"/>
        <v>0</v>
      </c>
      <c r="S34" s="119">
        <f t="shared" si="2"/>
        <v>0</v>
      </c>
      <c r="T34" s="119">
        <f t="shared" si="3"/>
        <v>0</v>
      </c>
      <c r="U34" s="116" t="e">
        <f t="shared" si="15"/>
        <v>#DIV/0!</v>
      </c>
      <c r="V34" s="344" t="s">
        <v>385</v>
      </c>
      <c r="W34" s="109"/>
    </row>
    <row r="35" spans="1:23" ht="45">
      <c r="A35" s="96" t="s">
        <v>425</v>
      </c>
      <c r="B35" s="97" t="s">
        <v>426</v>
      </c>
      <c r="C35" s="104" t="s">
        <v>385</v>
      </c>
      <c r="D35" s="106">
        <f>D36+D37</f>
        <v>1.7791999999999999</v>
      </c>
      <c r="E35" s="106">
        <f t="shared" ref="E35:Q35" si="23">E36+E37</f>
        <v>0</v>
      </c>
      <c r="F35" s="106">
        <f t="shared" si="23"/>
        <v>1.7791999999999999</v>
      </c>
      <c r="G35" s="106">
        <f t="shared" si="23"/>
        <v>1.7791999999999999</v>
      </c>
      <c r="H35" s="106">
        <f t="shared" si="18"/>
        <v>1.7793000000000001</v>
      </c>
      <c r="I35" s="106">
        <f t="shared" si="19"/>
        <v>0</v>
      </c>
      <c r="J35" s="106">
        <f t="shared" si="23"/>
        <v>0</v>
      </c>
      <c r="K35" s="106">
        <f t="shared" si="23"/>
        <v>0</v>
      </c>
      <c r="L35" s="106">
        <f t="shared" si="23"/>
        <v>0</v>
      </c>
      <c r="M35" s="106">
        <f t="shared" si="23"/>
        <v>0</v>
      </c>
      <c r="N35" s="106">
        <f t="shared" si="23"/>
        <v>1.7793000000000001</v>
      </c>
      <c r="O35" s="106">
        <f t="shared" si="23"/>
        <v>0</v>
      </c>
      <c r="P35" s="106">
        <f t="shared" si="23"/>
        <v>0</v>
      </c>
      <c r="Q35" s="106">
        <f t="shared" si="23"/>
        <v>0</v>
      </c>
      <c r="R35" s="119">
        <f t="shared" si="1"/>
        <v>0</v>
      </c>
      <c r="S35" s="119">
        <f t="shared" si="2"/>
        <v>0</v>
      </c>
      <c r="T35" s="119">
        <f t="shared" si="3"/>
        <v>0</v>
      </c>
      <c r="U35" s="116" t="e">
        <f t="shared" si="15"/>
        <v>#DIV/0!</v>
      </c>
      <c r="V35" s="344" t="s">
        <v>385</v>
      </c>
      <c r="W35" s="109"/>
    </row>
    <row r="36" spans="1:23" ht="30">
      <c r="A36" s="87" t="s">
        <v>427</v>
      </c>
      <c r="B36" s="98" t="s">
        <v>428</v>
      </c>
      <c r="C36" s="101" t="s">
        <v>273</v>
      </c>
      <c r="D36" s="106">
        <v>1.151</v>
      </c>
      <c r="E36" s="106">
        <v>0</v>
      </c>
      <c r="F36" s="106">
        <f>D36</f>
        <v>1.151</v>
      </c>
      <c r="G36" s="106">
        <f>D36</f>
        <v>1.151</v>
      </c>
      <c r="H36" s="106">
        <f t="shared" si="18"/>
        <v>1.1511</v>
      </c>
      <c r="I36" s="106">
        <f t="shared" si="19"/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1.1511</v>
      </c>
      <c r="O36" s="106">
        <v>0</v>
      </c>
      <c r="P36" s="106">
        <v>0</v>
      </c>
      <c r="Q36" s="106">
        <v>0</v>
      </c>
      <c r="R36" s="119">
        <f t="shared" si="1"/>
        <v>0</v>
      </c>
      <c r="S36" s="119">
        <f t="shared" si="2"/>
        <v>0</v>
      </c>
      <c r="T36" s="119">
        <f t="shared" si="3"/>
        <v>0</v>
      </c>
      <c r="U36" s="116" t="e">
        <f t="shared" si="15"/>
        <v>#DIV/0!</v>
      </c>
      <c r="V36" s="344" t="s">
        <v>385</v>
      </c>
      <c r="W36" s="109"/>
    </row>
    <row r="37" spans="1:23" ht="30.75" customHeight="1">
      <c r="A37" s="87" t="s">
        <v>1063</v>
      </c>
      <c r="B37" s="98" t="s">
        <v>428</v>
      </c>
      <c r="C37" s="101" t="s">
        <v>1116</v>
      </c>
      <c r="D37" s="106">
        <v>0.62819999999999998</v>
      </c>
      <c r="E37" s="106">
        <v>0</v>
      </c>
      <c r="F37" s="106">
        <f>D37</f>
        <v>0.62819999999999998</v>
      </c>
      <c r="G37" s="106">
        <f>D37</f>
        <v>0.62819999999999998</v>
      </c>
      <c r="H37" s="106">
        <f t="shared" si="18"/>
        <v>0.62819999999999998</v>
      </c>
      <c r="I37" s="106">
        <f t="shared" si="19"/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0.62819999999999998</v>
      </c>
      <c r="O37" s="106">
        <v>0</v>
      </c>
      <c r="P37" s="106">
        <v>0</v>
      </c>
      <c r="Q37" s="106">
        <v>0</v>
      </c>
      <c r="R37" s="119">
        <f t="shared" si="1"/>
        <v>0</v>
      </c>
      <c r="S37" s="119">
        <f t="shared" si="2"/>
        <v>0</v>
      </c>
      <c r="T37" s="119">
        <f t="shared" si="3"/>
        <v>0</v>
      </c>
      <c r="U37" s="116" t="e">
        <f t="shared" si="15"/>
        <v>#DIV/0!</v>
      </c>
      <c r="V37" s="344" t="s">
        <v>385</v>
      </c>
      <c r="W37" s="321"/>
    </row>
    <row r="38" spans="1:23" ht="42.75">
      <c r="A38" s="89" t="s">
        <v>429</v>
      </c>
      <c r="B38" s="90" t="s">
        <v>430</v>
      </c>
      <c r="C38" s="101"/>
      <c r="D38" s="106">
        <f>D39+D40+D41</f>
        <v>3.327</v>
      </c>
      <c r="E38" s="106">
        <f>E39+E40+E41</f>
        <v>0</v>
      </c>
      <c r="F38" s="106">
        <f>F39+F40+F41</f>
        <v>3.327</v>
      </c>
      <c r="G38" s="106">
        <f>G39+G40+G41</f>
        <v>3.327</v>
      </c>
      <c r="H38" s="106">
        <f t="shared" si="18"/>
        <v>3.327</v>
      </c>
      <c r="I38" s="106">
        <f t="shared" si="19"/>
        <v>0.54200000000000004</v>
      </c>
      <c r="J38" s="106">
        <f t="shared" ref="J38:Q38" si="24">J39+J40+J41</f>
        <v>0.25</v>
      </c>
      <c r="K38" s="106">
        <f t="shared" si="24"/>
        <v>0.25</v>
      </c>
      <c r="L38" s="106">
        <f t="shared" si="24"/>
        <v>0</v>
      </c>
      <c r="M38" s="106">
        <f t="shared" si="24"/>
        <v>0.29200000000000004</v>
      </c>
      <c r="N38" s="106">
        <f t="shared" si="24"/>
        <v>0</v>
      </c>
      <c r="O38" s="106">
        <f t="shared" si="24"/>
        <v>0</v>
      </c>
      <c r="P38" s="106">
        <f t="shared" si="24"/>
        <v>3.077</v>
      </c>
      <c r="Q38" s="106">
        <f t="shared" si="24"/>
        <v>0</v>
      </c>
      <c r="R38" s="119">
        <f t="shared" si="1"/>
        <v>-0.29200000000000004</v>
      </c>
      <c r="S38" s="119">
        <f t="shared" si="2"/>
        <v>-0.29200000000000004</v>
      </c>
      <c r="T38" s="119">
        <f t="shared" si="3"/>
        <v>0.29200000000000004</v>
      </c>
      <c r="U38" s="116">
        <f t="shared" si="15"/>
        <v>116.80000000000001</v>
      </c>
      <c r="V38" s="344" t="s">
        <v>385</v>
      </c>
      <c r="W38" s="109"/>
    </row>
    <row r="39" spans="1:23" ht="45">
      <c r="A39" s="91" t="s">
        <v>431</v>
      </c>
      <c r="B39" s="99" t="s">
        <v>432</v>
      </c>
      <c r="C39" s="102" t="s">
        <v>433</v>
      </c>
      <c r="D39" s="106">
        <f>0.497+0.106</f>
        <v>0.60299999999999998</v>
      </c>
      <c r="E39" s="106">
        <v>0</v>
      </c>
      <c r="F39" s="106">
        <f>D39</f>
        <v>0.60299999999999998</v>
      </c>
      <c r="G39" s="106">
        <f>F39</f>
        <v>0.60299999999999998</v>
      </c>
      <c r="H39" s="106">
        <f t="shared" si="18"/>
        <v>0.60300000000000009</v>
      </c>
      <c r="I39" s="106">
        <f t="shared" si="19"/>
        <v>0.33300000000000002</v>
      </c>
      <c r="J39" s="106">
        <v>0.05</v>
      </c>
      <c r="K39" s="106">
        <v>5.8999999999999997E-2</v>
      </c>
      <c r="L39" s="106">
        <v>0</v>
      </c>
      <c r="M39" s="106">
        <v>0.27400000000000002</v>
      </c>
      <c r="N39" s="106">
        <v>0</v>
      </c>
      <c r="O39" s="106">
        <v>0</v>
      </c>
      <c r="P39" s="106">
        <v>0.55300000000000005</v>
      </c>
      <c r="Q39" s="106">
        <v>0</v>
      </c>
      <c r="R39" s="119">
        <f t="shared" si="1"/>
        <v>-0.28300000000000003</v>
      </c>
      <c r="S39" s="119">
        <f t="shared" si="2"/>
        <v>-0.28300000000000003</v>
      </c>
      <c r="T39" s="119">
        <f t="shared" si="3"/>
        <v>0.28300000000000003</v>
      </c>
      <c r="U39" s="116">
        <f t="shared" si="15"/>
        <v>566</v>
      </c>
      <c r="V39" s="344" t="s">
        <v>385</v>
      </c>
      <c r="W39" s="109"/>
    </row>
    <row r="40" spans="1:23" ht="45">
      <c r="A40" s="91" t="s">
        <v>444</v>
      </c>
      <c r="B40" s="99" t="s">
        <v>435</v>
      </c>
      <c r="C40" s="102" t="s">
        <v>436</v>
      </c>
      <c r="D40" s="106">
        <f>0.09+0.019</f>
        <v>0.109</v>
      </c>
      <c r="E40" s="106">
        <v>0</v>
      </c>
      <c r="F40" s="106">
        <f t="shared" ref="F40:F41" si="25">D40</f>
        <v>0.109</v>
      </c>
      <c r="G40" s="106">
        <f t="shared" ref="G40:G41" si="26">F40</f>
        <v>0.109</v>
      </c>
      <c r="H40" s="106">
        <f t="shared" si="18"/>
        <v>0.109</v>
      </c>
      <c r="I40" s="106">
        <f t="shared" si="19"/>
        <v>6.3E-2</v>
      </c>
      <c r="J40" s="106">
        <v>0.05</v>
      </c>
      <c r="K40" s="106">
        <v>5.8999999999999997E-2</v>
      </c>
      <c r="L40" s="106">
        <v>0</v>
      </c>
      <c r="M40" s="106">
        <v>4.0000000000000001E-3</v>
      </c>
      <c r="N40" s="106">
        <v>0</v>
      </c>
      <c r="O40" s="106">
        <v>0</v>
      </c>
      <c r="P40" s="106">
        <v>5.8999999999999997E-2</v>
      </c>
      <c r="Q40" s="106">
        <v>0</v>
      </c>
      <c r="R40" s="119">
        <f t="shared" si="1"/>
        <v>-1.2999999999999998E-2</v>
      </c>
      <c r="S40" s="119">
        <f t="shared" si="2"/>
        <v>-1.2999999999999998E-2</v>
      </c>
      <c r="T40" s="119">
        <f t="shared" si="3"/>
        <v>1.2999999999999998E-2</v>
      </c>
      <c r="U40" s="116">
        <f t="shared" si="15"/>
        <v>25.999999999999996</v>
      </c>
      <c r="V40" s="344" t="s">
        <v>385</v>
      </c>
      <c r="W40" s="109"/>
    </row>
    <row r="41" spans="1:23" ht="45">
      <c r="A41" s="91" t="s">
        <v>434</v>
      </c>
      <c r="B41" s="99" t="s">
        <v>438</v>
      </c>
      <c r="C41" s="102" t="s">
        <v>439</v>
      </c>
      <c r="D41" s="106">
        <f>2.24+0.375</f>
        <v>2.6150000000000002</v>
      </c>
      <c r="E41" s="106">
        <v>0</v>
      </c>
      <c r="F41" s="106">
        <f t="shared" si="25"/>
        <v>2.6150000000000002</v>
      </c>
      <c r="G41" s="106">
        <f t="shared" si="26"/>
        <v>2.6150000000000002</v>
      </c>
      <c r="H41" s="106">
        <f t="shared" si="18"/>
        <v>2.6149999999999998</v>
      </c>
      <c r="I41" s="106">
        <f t="shared" si="19"/>
        <v>0.14600000000000002</v>
      </c>
      <c r="J41" s="106">
        <v>0.15</v>
      </c>
      <c r="K41" s="106">
        <v>0.13200000000000001</v>
      </c>
      <c r="L41" s="106">
        <v>0</v>
      </c>
      <c r="M41" s="106">
        <v>1.4E-2</v>
      </c>
      <c r="N41" s="106">
        <v>0</v>
      </c>
      <c r="O41" s="106">
        <v>0</v>
      </c>
      <c r="P41" s="106">
        <v>2.4649999999999999</v>
      </c>
      <c r="Q41" s="106">
        <v>0</v>
      </c>
      <c r="R41" s="119">
        <f t="shared" si="1"/>
        <v>3.9999999999999758E-3</v>
      </c>
      <c r="S41" s="119">
        <f t="shared" si="2"/>
        <v>3.9999999999999758E-3</v>
      </c>
      <c r="T41" s="119">
        <f t="shared" si="3"/>
        <v>-3.9999999999999758E-3</v>
      </c>
      <c r="U41" s="116">
        <f t="shared" si="15"/>
        <v>-2.6666666666666505</v>
      </c>
      <c r="V41" s="344" t="s">
        <v>385</v>
      </c>
      <c r="W41" s="109"/>
    </row>
    <row r="42" spans="1:23" ht="28.5">
      <c r="A42" s="108"/>
      <c r="B42" s="90" t="s">
        <v>441</v>
      </c>
      <c r="C42" s="101"/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19">
        <f t="shared" si="1"/>
        <v>0</v>
      </c>
      <c r="S42" s="119">
        <f t="shared" si="2"/>
        <v>0</v>
      </c>
      <c r="T42" s="119">
        <f t="shared" si="3"/>
        <v>0</v>
      </c>
      <c r="U42" s="116" t="e">
        <f t="shared" si="15"/>
        <v>#DIV/0!</v>
      </c>
      <c r="V42" s="344" t="s">
        <v>385</v>
      </c>
      <c r="W42" s="109"/>
    </row>
    <row r="43" spans="1:23" s="66" customFormat="1" ht="28.5" customHeight="1">
      <c r="A43" s="373" t="s">
        <v>31</v>
      </c>
      <c r="B43" s="374"/>
      <c r="C43" s="375"/>
      <c r="D43" s="60">
        <f>D16</f>
        <v>11.509499999999999</v>
      </c>
      <c r="E43" s="60">
        <f t="shared" ref="E43:T43" si="27">E16</f>
        <v>0</v>
      </c>
      <c r="F43" s="60">
        <f t="shared" si="27"/>
        <v>11.509499999999999</v>
      </c>
      <c r="G43" s="60">
        <f t="shared" si="27"/>
        <v>11.509499999999999</v>
      </c>
      <c r="H43" s="60">
        <f t="shared" si="27"/>
        <v>11.509500000000001</v>
      </c>
      <c r="I43" s="60">
        <f t="shared" si="27"/>
        <v>2.3559999999999999</v>
      </c>
      <c r="J43" s="60">
        <f t="shared" si="27"/>
        <v>0.5</v>
      </c>
      <c r="K43" s="60">
        <f t="shared" si="27"/>
        <v>0.48399999999999999</v>
      </c>
      <c r="L43" s="60">
        <f t="shared" si="27"/>
        <v>0</v>
      </c>
      <c r="M43" s="60">
        <f t="shared" si="27"/>
        <v>1.8720000000000001</v>
      </c>
      <c r="N43" s="60">
        <f t="shared" si="27"/>
        <v>2.2615000000000003</v>
      </c>
      <c r="O43" s="60">
        <f t="shared" si="27"/>
        <v>0</v>
      </c>
      <c r="P43" s="60">
        <f t="shared" si="27"/>
        <v>8.7480000000000011</v>
      </c>
      <c r="Q43" s="60">
        <f t="shared" si="27"/>
        <v>0</v>
      </c>
      <c r="R43" s="60">
        <f t="shared" si="1"/>
        <v>-1.8560000000000001</v>
      </c>
      <c r="S43" s="60">
        <f t="shared" si="27"/>
        <v>-1.8560000000000001</v>
      </c>
      <c r="T43" s="60">
        <f t="shared" si="27"/>
        <v>1.8559999999999999</v>
      </c>
      <c r="U43" s="116">
        <f t="shared" si="15"/>
        <v>371.2</v>
      </c>
      <c r="V43" s="344" t="s">
        <v>385</v>
      </c>
    </row>
    <row r="44" spans="1:23">
      <c r="A44" s="2"/>
    </row>
    <row r="45" spans="1:23">
      <c r="A45" s="2"/>
    </row>
    <row r="47" spans="1:23">
      <c r="T47" s="68"/>
    </row>
  </sheetData>
  <mergeCells count="32">
    <mergeCell ref="V12:V14"/>
    <mergeCell ref="F13:F14"/>
    <mergeCell ref="G13:G14"/>
    <mergeCell ref="H13:I13"/>
    <mergeCell ref="T13:T14"/>
    <mergeCell ref="P13:Q13"/>
    <mergeCell ref="R13:R14"/>
    <mergeCell ref="U13:U14"/>
    <mergeCell ref="T12:U12"/>
    <mergeCell ref="A43:C43"/>
    <mergeCell ref="H12:Q12"/>
    <mergeCell ref="R12:S12"/>
    <mergeCell ref="A12:A14"/>
    <mergeCell ref="B12:B14"/>
    <mergeCell ref="C12:C14"/>
    <mergeCell ref="D12:D14"/>
    <mergeCell ref="E12:E14"/>
    <mergeCell ref="J13:K13"/>
    <mergeCell ref="L13:M13"/>
    <mergeCell ref="N13:O13"/>
    <mergeCell ref="F12:G12"/>
    <mergeCell ref="S13:S14"/>
    <mergeCell ref="A10:T10"/>
    <mergeCell ref="T1:V1"/>
    <mergeCell ref="T2:V2"/>
    <mergeCell ref="T3:V3"/>
    <mergeCell ref="A5:T5"/>
    <mergeCell ref="A6:T6"/>
    <mergeCell ref="A7:T7"/>
    <mergeCell ref="A8:T8"/>
    <mergeCell ref="A9:T9"/>
    <mergeCell ref="A4:V4"/>
  </mergeCells>
  <pageMargins left="0" right="0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topLeftCell="K1" zoomScale="90" zoomScaleNormal="90" workbookViewId="0">
      <selection activeCell="A5" sqref="A5:T5"/>
    </sheetView>
  </sheetViews>
  <sheetFormatPr defaultRowHeight="15"/>
  <cols>
    <col min="1" max="1" width="7.7109375" customWidth="1"/>
    <col min="2" max="2" width="43.28515625" customWidth="1"/>
    <col min="3" max="3" width="15.42578125" customWidth="1"/>
    <col min="4" max="4" width="14.42578125" customWidth="1"/>
    <col min="36" max="36" width="10.7109375" customWidth="1"/>
    <col min="38" max="38" width="11.7109375" customWidth="1"/>
    <col min="39" max="39" width="9.85546875" customWidth="1"/>
    <col min="40" max="40" width="12.5703125" customWidth="1"/>
  </cols>
  <sheetData>
    <row r="1" spans="1:79" ht="20.25" customHeight="1">
      <c r="C1" s="15"/>
      <c r="D1" s="21"/>
      <c r="E1" s="46"/>
      <c r="F1" s="17"/>
      <c r="AK1" s="362" t="s">
        <v>107</v>
      </c>
      <c r="AL1" s="362"/>
      <c r="AM1" s="362"/>
    </row>
    <row r="2" spans="1:79" ht="19.5" customHeight="1">
      <c r="C2" s="15"/>
      <c r="D2" s="21"/>
      <c r="E2" s="46"/>
      <c r="F2" s="17"/>
      <c r="AK2" s="362" t="s">
        <v>19</v>
      </c>
      <c r="AL2" s="362"/>
      <c r="AM2" s="362"/>
    </row>
    <row r="3" spans="1:79" ht="16.5" customHeight="1">
      <c r="AK3" s="362" t="s">
        <v>20</v>
      </c>
      <c r="AL3" s="362"/>
      <c r="AM3" s="362"/>
    </row>
    <row r="4" spans="1:79" ht="20.25" customHeight="1">
      <c r="A4" s="352" t="s">
        <v>300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</row>
    <row r="5" spans="1:79" ht="16.5" customHeight="1">
      <c r="A5" s="347" t="s">
        <v>1135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79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45"/>
      <c r="V6" s="45"/>
      <c r="W6" s="45"/>
      <c r="X6" s="45"/>
      <c r="Y6" s="45"/>
      <c r="Z6" s="45"/>
      <c r="AA6" s="45"/>
    </row>
    <row r="7" spans="1:79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44"/>
      <c r="V7" s="44"/>
      <c r="W7" s="44"/>
      <c r="X7" s="44"/>
      <c r="Y7" s="44"/>
      <c r="Z7" s="44"/>
      <c r="AA7" s="44"/>
    </row>
    <row r="8" spans="1:79" ht="18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45"/>
      <c r="V8" s="45"/>
      <c r="W8" s="45"/>
      <c r="X8" s="45"/>
      <c r="Y8" s="45"/>
      <c r="Z8" s="45"/>
      <c r="AA8" s="45"/>
    </row>
    <row r="9" spans="1:79" ht="20.25" customHeight="1">
      <c r="A9" s="347" t="s">
        <v>1108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79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44"/>
      <c r="V10" s="44"/>
      <c r="W10" s="44"/>
      <c r="X10" s="44"/>
      <c r="Y10" s="44"/>
      <c r="Z10" s="44"/>
      <c r="AA10" s="44"/>
    </row>
    <row r="11" spans="1:79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79" ht="15" customHeight="1">
      <c r="A12" s="377" t="s">
        <v>0</v>
      </c>
      <c r="B12" s="377" t="s">
        <v>1</v>
      </c>
      <c r="C12" s="377" t="s">
        <v>2</v>
      </c>
      <c r="D12" s="377" t="s">
        <v>108</v>
      </c>
      <c r="E12" s="377" t="s">
        <v>1121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 t="s">
        <v>1122</v>
      </c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8" t="s">
        <v>266</v>
      </c>
      <c r="BX12" s="387"/>
      <c r="BY12" s="387"/>
      <c r="BZ12" s="379"/>
      <c r="CA12" s="377" t="s">
        <v>25</v>
      </c>
    </row>
    <row r="13" spans="1:79">
      <c r="A13" s="377"/>
      <c r="B13" s="377"/>
      <c r="C13" s="377"/>
      <c r="D13" s="377"/>
      <c r="E13" s="377" t="s">
        <v>6</v>
      </c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 t="s">
        <v>7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88"/>
      <c r="BX13" s="389"/>
      <c r="BY13" s="389"/>
      <c r="BZ13" s="390"/>
      <c r="CA13" s="377"/>
    </row>
    <row r="14" spans="1:79">
      <c r="A14" s="377"/>
      <c r="B14" s="377"/>
      <c r="C14" s="377"/>
      <c r="D14" s="377"/>
      <c r="E14" s="377" t="s">
        <v>109</v>
      </c>
      <c r="F14" s="377"/>
      <c r="G14" s="377"/>
      <c r="H14" s="377"/>
      <c r="I14" s="377"/>
      <c r="J14" s="377"/>
      <c r="K14" s="377"/>
      <c r="L14" s="377" t="s">
        <v>110</v>
      </c>
      <c r="M14" s="377"/>
      <c r="N14" s="377"/>
      <c r="O14" s="377"/>
      <c r="P14" s="377"/>
      <c r="Q14" s="377"/>
      <c r="R14" s="377"/>
      <c r="S14" s="377" t="s">
        <v>111</v>
      </c>
      <c r="T14" s="377"/>
      <c r="U14" s="377"/>
      <c r="V14" s="377"/>
      <c r="W14" s="377"/>
      <c r="X14" s="377"/>
      <c r="Y14" s="377"/>
      <c r="Z14" s="377" t="s">
        <v>112</v>
      </c>
      <c r="AA14" s="377"/>
      <c r="AB14" s="377"/>
      <c r="AC14" s="377"/>
      <c r="AD14" s="377"/>
      <c r="AE14" s="377"/>
      <c r="AF14" s="377"/>
      <c r="AG14" s="377" t="s">
        <v>113</v>
      </c>
      <c r="AH14" s="377"/>
      <c r="AI14" s="377"/>
      <c r="AJ14" s="377"/>
      <c r="AK14" s="377"/>
      <c r="AL14" s="377"/>
      <c r="AM14" s="377"/>
      <c r="AN14" s="377" t="s">
        <v>109</v>
      </c>
      <c r="AO14" s="377"/>
      <c r="AP14" s="377"/>
      <c r="AQ14" s="377"/>
      <c r="AR14" s="377"/>
      <c r="AS14" s="377"/>
      <c r="AT14" s="377"/>
      <c r="AU14" s="377" t="s">
        <v>110</v>
      </c>
      <c r="AV14" s="377"/>
      <c r="AW14" s="377"/>
      <c r="AX14" s="377"/>
      <c r="AY14" s="377"/>
      <c r="AZ14" s="377"/>
      <c r="BA14" s="377"/>
      <c r="BB14" s="377" t="s">
        <v>111</v>
      </c>
      <c r="BC14" s="377"/>
      <c r="BD14" s="377"/>
      <c r="BE14" s="377"/>
      <c r="BF14" s="377"/>
      <c r="BG14" s="377"/>
      <c r="BH14" s="377"/>
      <c r="BI14" s="377" t="s">
        <v>112</v>
      </c>
      <c r="BJ14" s="377"/>
      <c r="BK14" s="377"/>
      <c r="BL14" s="377"/>
      <c r="BM14" s="377"/>
      <c r="BN14" s="377"/>
      <c r="BO14" s="377"/>
      <c r="BP14" s="377" t="s">
        <v>113</v>
      </c>
      <c r="BQ14" s="377"/>
      <c r="BR14" s="377"/>
      <c r="BS14" s="377"/>
      <c r="BT14" s="377"/>
      <c r="BU14" s="377"/>
      <c r="BV14" s="377"/>
      <c r="BW14" s="380"/>
      <c r="BX14" s="391"/>
      <c r="BY14" s="391"/>
      <c r="BZ14" s="381"/>
      <c r="CA14" s="377"/>
    </row>
    <row r="15" spans="1:79" ht="49.5" customHeight="1">
      <c r="A15" s="377"/>
      <c r="B15" s="377"/>
      <c r="C15" s="377"/>
      <c r="D15" s="377"/>
      <c r="E15" s="50" t="s">
        <v>37</v>
      </c>
      <c r="F15" s="377" t="s">
        <v>38</v>
      </c>
      <c r="G15" s="377"/>
      <c r="H15" s="377"/>
      <c r="I15" s="377"/>
      <c r="J15" s="377"/>
      <c r="K15" s="377"/>
      <c r="L15" s="50" t="s">
        <v>37</v>
      </c>
      <c r="M15" s="377" t="s">
        <v>38</v>
      </c>
      <c r="N15" s="377"/>
      <c r="O15" s="377"/>
      <c r="P15" s="377"/>
      <c r="Q15" s="377"/>
      <c r="R15" s="377"/>
      <c r="S15" s="50" t="s">
        <v>37</v>
      </c>
      <c r="T15" s="377" t="s">
        <v>38</v>
      </c>
      <c r="U15" s="377"/>
      <c r="V15" s="377"/>
      <c r="W15" s="377"/>
      <c r="X15" s="377"/>
      <c r="Y15" s="377"/>
      <c r="Z15" s="50" t="s">
        <v>37</v>
      </c>
      <c r="AA15" s="377" t="s">
        <v>38</v>
      </c>
      <c r="AB15" s="377"/>
      <c r="AC15" s="377"/>
      <c r="AD15" s="377"/>
      <c r="AE15" s="377"/>
      <c r="AF15" s="377"/>
      <c r="AG15" s="50" t="s">
        <v>37</v>
      </c>
      <c r="AH15" s="377" t="s">
        <v>38</v>
      </c>
      <c r="AI15" s="377"/>
      <c r="AJ15" s="377"/>
      <c r="AK15" s="377"/>
      <c r="AL15" s="377"/>
      <c r="AM15" s="377"/>
      <c r="AN15" s="111" t="s">
        <v>37</v>
      </c>
      <c r="AO15" s="377" t="s">
        <v>38</v>
      </c>
      <c r="AP15" s="377"/>
      <c r="AQ15" s="377"/>
      <c r="AR15" s="377"/>
      <c r="AS15" s="377"/>
      <c r="AT15" s="377"/>
      <c r="AU15" s="111" t="s">
        <v>37</v>
      </c>
      <c r="AV15" s="377" t="s">
        <v>38</v>
      </c>
      <c r="AW15" s="377"/>
      <c r="AX15" s="377"/>
      <c r="AY15" s="377"/>
      <c r="AZ15" s="377"/>
      <c r="BA15" s="377"/>
      <c r="BB15" s="111" t="s">
        <v>37</v>
      </c>
      <c r="BC15" s="377" t="s">
        <v>38</v>
      </c>
      <c r="BD15" s="377"/>
      <c r="BE15" s="377"/>
      <c r="BF15" s="377"/>
      <c r="BG15" s="377"/>
      <c r="BH15" s="377"/>
      <c r="BI15" s="111" t="s">
        <v>37</v>
      </c>
      <c r="BJ15" s="377" t="s">
        <v>38</v>
      </c>
      <c r="BK15" s="377"/>
      <c r="BL15" s="377"/>
      <c r="BM15" s="377"/>
      <c r="BN15" s="377"/>
      <c r="BO15" s="377"/>
      <c r="BP15" s="111" t="s">
        <v>37</v>
      </c>
      <c r="BQ15" s="377" t="s">
        <v>38</v>
      </c>
      <c r="BR15" s="377"/>
      <c r="BS15" s="377"/>
      <c r="BT15" s="377"/>
      <c r="BU15" s="377"/>
      <c r="BV15" s="377"/>
      <c r="BW15" s="392" t="s">
        <v>37</v>
      </c>
      <c r="BX15" s="393"/>
      <c r="BY15" s="392" t="s">
        <v>38</v>
      </c>
      <c r="BZ15" s="393"/>
      <c r="CA15" s="377"/>
    </row>
    <row r="16" spans="1:79" ht="83.25" customHeight="1">
      <c r="A16" s="377"/>
      <c r="B16" s="377"/>
      <c r="C16" s="377"/>
      <c r="D16" s="377"/>
      <c r="E16" s="50" t="s">
        <v>114</v>
      </c>
      <c r="F16" s="50" t="s">
        <v>114</v>
      </c>
      <c r="G16" s="50" t="s">
        <v>39</v>
      </c>
      <c r="H16" s="50" t="s">
        <v>40</v>
      </c>
      <c r="I16" s="50" t="s">
        <v>41</v>
      </c>
      <c r="J16" s="50" t="s">
        <v>42</v>
      </c>
      <c r="K16" s="50" t="s">
        <v>43</v>
      </c>
      <c r="L16" s="50" t="s">
        <v>114</v>
      </c>
      <c r="M16" s="50" t="s">
        <v>114</v>
      </c>
      <c r="N16" s="50" t="s">
        <v>39</v>
      </c>
      <c r="O16" s="50" t="s">
        <v>40</v>
      </c>
      <c r="P16" s="50" t="s">
        <v>41</v>
      </c>
      <c r="Q16" s="50" t="s">
        <v>42</v>
      </c>
      <c r="R16" s="50" t="s">
        <v>43</v>
      </c>
      <c r="S16" s="50" t="s">
        <v>114</v>
      </c>
      <c r="T16" s="50" t="s">
        <v>26</v>
      </c>
      <c r="U16" s="50" t="s">
        <v>39</v>
      </c>
      <c r="V16" s="50" t="s">
        <v>40</v>
      </c>
      <c r="W16" s="50" t="s">
        <v>41</v>
      </c>
      <c r="X16" s="50" t="s">
        <v>42</v>
      </c>
      <c r="Y16" s="50" t="s">
        <v>43</v>
      </c>
      <c r="Z16" s="50" t="s">
        <v>26</v>
      </c>
      <c r="AA16" s="50" t="s">
        <v>26</v>
      </c>
      <c r="AB16" s="50" t="s">
        <v>39</v>
      </c>
      <c r="AC16" s="50" t="s">
        <v>40</v>
      </c>
      <c r="AD16" s="50" t="s">
        <v>41</v>
      </c>
      <c r="AE16" s="50" t="s">
        <v>42</v>
      </c>
      <c r="AF16" s="50" t="s">
        <v>43</v>
      </c>
      <c r="AG16" s="50" t="s">
        <v>26</v>
      </c>
      <c r="AH16" s="50" t="s">
        <v>26</v>
      </c>
      <c r="AI16" s="50" t="s">
        <v>39</v>
      </c>
      <c r="AJ16" s="50" t="s">
        <v>40</v>
      </c>
      <c r="AK16" s="50" t="s">
        <v>41</v>
      </c>
      <c r="AL16" s="50" t="s">
        <v>42</v>
      </c>
      <c r="AM16" s="50" t="s">
        <v>43</v>
      </c>
      <c r="AN16" s="111" t="s">
        <v>26</v>
      </c>
      <c r="AO16" s="111" t="s">
        <v>26</v>
      </c>
      <c r="AP16" s="111" t="s">
        <v>39</v>
      </c>
      <c r="AQ16" s="111" t="s">
        <v>40</v>
      </c>
      <c r="AR16" s="111" t="s">
        <v>41</v>
      </c>
      <c r="AS16" s="111" t="s">
        <v>42</v>
      </c>
      <c r="AT16" s="111" t="s">
        <v>43</v>
      </c>
      <c r="AU16" s="111" t="s">
        <v>26</v>
      </c>
      <c r="AV16" s="111" t="s">
        <v>26</v>
      </c>
      <c r="AW16" s="111" t="s">
        <v>39</v>
      </c>
      <c r="AX16" s="111" t="s">
        <v>40</v>
      </c>
      <c r="AY16" s="111" t="s">
        <v>41</v>
      </c>
      <c r="AZ16" s="111" t="s">
        <v>42</v>
      </c>
      <c r="BA16" s="111" t="s">
        <v>43</v>
      </c>
      <c r="BB16" s="111" t="s">
        <v>114</v>
      </c>
      <c r="BC16" s="111" t="s">
        <v>114</v>
      </c>
      <c r="BD16" s="111" t="s">
        <v>39</v>
      </c>
      <c r="BE16" s="111" t="s">
        <v>40</v>
      </c>
      <c r="BF16" s="111" t="s">
        <v>41</v>
      </c>
      <c r="BG16" s="111" t="s">
        <v>42</v>
      </c>
      <c r="BH16" s="111" t="s">
        <v>43</v>
      </c>
      <c r="BI16" s="111" t="s">
        <v>26</v>
      </c>
      <c r="BJ16" s="111" t="s">
        <v>26</v>
      </c>
      <c r="BK16" s="111" t="s">
        <v>39</v>
      </c>
      <c r="BL16" s="111" t="s">
        <v>40</v>
      </c>
      <c r="BM16" s="111" t="s">
        <v>41</v>
      </c>
      <c r="BN16" s="111" t="s">
        <v>42</v>
      </c>
      <c r="BO16" s="111" t="s">
        <v>43</v>
      </c>
      <c r="BP16" s="111" t="s">
        <v>26</v>
      </c>
      <c r="BQ16" s="111" t="s">
        <v>114</v>
      </c>
      <c r="BR16" s="111" t="s">
        <v>39</v>
      </c>
      <c r="BS16" s="111" t="s">
        <v>40</v>
      </c>
      <c r="BT16" s="111" t="s">
        <v>41</v>
      </c>
      <c r="BU16" s="111" t="s">
        <v>42</v>
      </c>
      <c r="BV16" s="111" t="s">
        <v>43</v>
      </c>
      <c r="BW16" s="111" t="s">
        <v>26</v>
      </c>
      <c r="BX16" s="111" t="s">
        <v>15</v>
      </c>
      <c r="BY16" s="111" t="s">
        <v>26</v>
      </c>
      <c r="BZ16" s="111" t="s">
        <v>15</v>
      </c>
      <c r="CA16" s="377"/>
    </row>
    <row r="17" spans="1:79">
      <c r="A17" s="12">
        <v>1</v>
      </c>
      <c r="B17" s="12">
        <v>2</v>
      </c>
      <c r="C17" s="12">
        <v>3</v>
      </c>
      <c r="D17" s="12">
        <v>4</v>
      </c>
      <c r="E17" s="12" t="s">
        <v>115</v>
      </c>
      <c r="F17" s="12" t="s">
        <v>116</v>
      </c>
      <c r="G17" s="12" t="s">
        <v>117</v>
      </c>
      <c r="H17" s="12" t="s">
        <v>118</v>
      </c>
      <c r="I17" s="12" t="s">
        <v>119</v>
      </c>
      <c r="J17" s="12" t="s">
        <v>120</v>
      </c>
      <c r="K17" s="12" t="s">
        <v>121</v>
      </c>
      <c r="L17" s="12" t="s">
        <v>122</v>
      </c>
      <c r="M17" s="12" t="s">
        <v>123</v>
      </c>
      <c r="N17" s="12" t="s">
        <v>124</v>
      </c>
      <c r="O17" s="12" t="s">
        <v>125</v>
      </c>
      <c r="P17" s="12" t="s">
        <v>126</v>
      </c>
      <c r="Q17" s="12" t="s">
        <v>127</v>
      </c>
      <c r="R17" s="12" t="s">
        <v>128</v>
      </c>
      <c r="S17" s="12" t="s">
        <v>129</v>
      </c>
      <c r="T17" s="12" t="s">
        <v>130</v>
      </c>
      <c r="U17" s="12" t="s">
        <v>131</v>
      </c>
      <c r="V17" s="12" t="s">
        <v>132</v>
      </c>
      <c r="W17" s="12" t="s">
        <v>133</v>
      </c>
      <c r="X17" s="12" t="s">
        <v>134</v>
      </c>
      <c r="Y17" s="12" t="s">
        <v>135</v>
      </c>
      <c r="Z17" s="12" t="s">
        <v>136</v>
      </c>
      <c r="AA17" s="12" t="s">
        <v>137</v>
      </c>
      <c r="AB17" s="12" t="s">
        <v>138</v>
      </c>
      <c r="AC17" s="12" t="s">
        <v>139</v>
      </c>
      <c r="AD17" s="12" t="s">
        <v>140</v>
      </c>
      <c r="AE17" s="12" t="s">
        <v>141</v>
      </c>
      <c r="AF17" s="12" t="s">
        <v>142</v>
      </c>
      <c r="AG17" s="12" t="s">
        <v>143</v>
      </c>
      <c r="AH17" s="12" t="s">
        <v>144</v>
      </c>
      <c r="AI17" s="12" t="s">
        <v>145</v>
      </c>
      <c r="AJ17" s="12" t="s">
        <v>146</v>
      </c>
      <c r="AK17" s="12" t="s">
        <v>147</v>
      </c>
      <c r="AL17" s="12" t="s">
        <v>148</v>
      </c>
      <c r="AM17" s="12" t="s">
        <v>188</v>
      </c>
      <c r="AN17" s="111" t="s">
        <v>160</v>
      </c>
      <c r="AO17" s="111" t="s">
        <v>161</v>
      </c>
      <c r="AP17" s="111" t="s">
        <v>162</v>
      </c>
      <c r="AQ17" s="111" t="s">
        <v>163</v>
      </c>
      <c r="AR17" s="111" t="s">
        <v>164</v>
      </c>
      <c r="AS17" s="111" t="s">
        <v>189</v>
      </c>
      <c r="AT17" s="111" t="s">
        <v>190</v>
      </c>
      <c r="AU17" s="111" t="s">
        <v>191</v>
      </c>
      <c r="AV17" s="111" t="s">
        <v>192</v>
      </c>
      <c r="AW17" s="111" t="s">
        <v>193</v>
      </c>
      <c r="AX17" s="111" t="s">
        <v>194</v>
      </c>
      <c r="AY17" s="111" t="s">
        <v>195</v>
      </c>
      <c r="AZ17" s="111" t="s">
        <v>196</v>
      </c>
      <c r="BA17" s="111" t="s">
        <v>197</v>
      </c>
      <c r="BB17" s="111" t="s">
        <v>198</v>
      </c>
      <c r="BC17" s="111" t="s">
        <v>199</v>
      </c>
      <c r="BD17" s="111" t="s">
        <v>200</v>
      </c>
      <c r="BE17" s="111" t="s">
        <v>201</v>
      </c>
      <c r="BF17" s="111" t="s">
        <v>202</v>
      </c>
      <c r="BG17" s="111" t="s">
        <v>203</v>
      </c>
      <c r="BH17" s="111" t="s">
        <v>204</v>
      </c>
      <c r="BI17" s="111" t="s">
        <v>205</v>
      </c>
      <c r="BJ17" s="111" t="s">
        <v>206</v>
      </c>
      <c r="BK17" s="111" t="s">
        <v>207</v>
      </c>
      <c r="BL17" s="111" t="s">
        <v>208</v>
      </c>
      <c r="BM17" s="111" t="s">
        <v>209</v>
      </c>
      <c r="BN17" s="111" t="s">
        <v>210</v>
      </c>
      <c r="BO17" s="111" t="s">
        <v>211</v>
      </c>
      <c r="BP17" s="111" t="s">
        <v>212</v>
      </c>
      <c r="BQ17" s="111" t="s">
        <v>213</v>
      </c>
      <c r="BR17" s="111" t="s">
        <v>214</v>
      </c>
      <c r="BS17" s="111" t="s">
        <v>215</v>
      </c>
      <c r="BT17" s="111" t="s">
        <v>216</v>
      </c>
      <c r="BU17" s="111" t="s">
        <v>217</v>
      </c>
      <c r="BV17" s="111" t="s">
        <v>218</v>
      </c>
      <c r="BW17" s="111">
        <v>7</v>
      </c>
      <c r="BX17" s="111">
        <v>8</v>
      </c>
      <c r="BY17" s="111">
        <v>9</v>
      </c>
      <c r="BZ17" s="111">
        <v>10</v>
      </c>
      <c r="CA17" s="111">
        <v>11</v>
      </c>
    </row>
    <row r="18" spans="1:79" ht="28.5">
      <c r="A18" s="83" t="s">
        <v>384</v>
      </c>
      <c r="B18" s="84" t="s">
        <v>31</v>
      </c>
      <c r="C18" s="100" t="s">
        <v>385</v>
      </c>
      <c r="D18" s="119">
        <f>D19+D20+D21+D22+D23+D24</f>
        <v>11.509499999999999</v>
      </c>
      <c r="E18" s="120">
        <f>L18+S18+Z18+AG18</f>
        <v>0</v>
      </c>
      <c r="F18" s="277">
        <f>M18+T18+AA18+AH18</f>
        <v>11.509499999999999</v>
      </c>
      <c r="G18" s="120">
        <f t="shared" ref="E18:K33" si="0">N18+U18+AB18+AI18</f>
        <v>0.16</v>
      </c>
      <c r="H18" s="120">
        <f t="shared" si="0"/>
        <v>0</v>
      </c>
      <c r="I18" s="277">
        <f t="shared" si="0"/>
        <v>13.125</v>
      </c>
      <c r="J18" s="120">
        <f t="shared" si="0"/>
        <v>0</v>
      </c>
      <c r="K18" s="120">
        <f>R18+Y18+AF18+AM18</f>
        <v>227</v>
      </c>
      <c r="L18" s="120">
        <f>L19+L20+L21+L22+L23+L24</f>
        <v>0</v>
      </c>
      <c r="M18" s="120">
        <f>M19+M20+M21+M22+M23+M24</f>
        <v>0</v>
      </c>
      <c r="N18" s="120">
        <f t="shared" ref="N18:Q18" si="1">N19+N20+N21+N22+N23+N24</f>
        <v>0</v>
      </c>
      <c r="O18" s="120">
        <f t="shared" si="1"/>
        <v>0</v>
      </c>
      <c r="P18" s="120">
        <f t="shared" si="1"/>
        <v>0</v>
      </c>
      <c r="Q18" s="120">
        <f t="shared" si="1"/>
        <v>0</v>
      </c>
      <c r="R18" s="120">
        <f>R19+R20+R21+R22+R23+R24</f>
        <v>0</v>
      </c>
      <c r="S18" s="120">
        <f>S19+S20+S21+S22+S23+S24</f>
        <v>0</v>
      </c>
      <c r="T18" s="120">
        <f>T19+T20+T21+T22+T23+T24</f>
        <v>0</v>
      </c>
      <c r="U18" s="120">
        <f t="shared" ref="U18" si="2">U19+U20+U21+U22+U23+U24</f>
        <v>0</v>
      </c>
      <c r="V18" s="120">
        <f t="shared" ref="V18" si="3">V19+V20+V21+V22+V23+V24</f>
        <v>0</v>
      </c>
      <c r="W18" s="120">
        <f t="shared" ref="W18" si="4">W19+W20+W21+W22+W23+W24</f>
        <v>0</v>
      </c>
      <c r="X18" s="120">
        <f t="shared" ref="X18" si="5">X19+X20+X21+X22+X23+X24</f>
        <v>0</v>
      </c>
      <c r="Y18" s="120">
        <f>Y19+Y20+Y21+Y22+Y23+Y24</f>
        <v>0</v>
      </c>
      <c r="Z18" s="120">
        <f>Z19+Z20+Z21+Z22+Z23+Z24</f>
        <v>0</v>
      </c>
      <c r="AA18" s="120">
        <f>AA19+AA20+AA21+AA22+AA23+AA24</f>
        <v>0</v>
      </c>
      <c r="AB18" s="120">
        <f t="shared" ref="AB18" si="6">AB19+AB20+AB21+AB22+AB23+AB24</f>
        <v>0</v>
      </c>
      <c r="AC18" s="120">
        <f t="shared" ref="AC18" si="7">AC19+AC20+AC21+AC22+AC23+AC24</f>
        <v>0</v>
      </c>
      <c r="AD18" s="120">
        <f t="shared" ref="AD18" si="8">AD19+AD20+AD21+AD22+AD23+AD24</f>
        <v>0</v>
      </c>
      <c r="AE18" s="120">
        <f t="shared" ref="AE18" si="9">AE19+AE20+AE21+AE22+AE23+AE24</f>
        <v>0</v>
      </c>
      <c r="AF18" s="120">
        <f>AF19+AF20+AF21+AF22+AF23+AF24</f>
        <v>0</v>
      </c>
      <c r="AG18" s="120">
        <f>AG19+AG20+AG21+AG22+AG23+AG24</f>
        <v>0</v>
      </c>
      <c r="AH18" s="277">
        <f>AH19+AH20+AH21+AH22+AH23+AH24</f>
        <v>11.509499999999999</v>
      </c>
      <c r="AI18" s="120">
        <f t="shared" ref="AI18" si="10">AI19+AI20+AI21+AI22+AI23+AI24</f>
        <v>0.16</v>
      </c>
      <c r="AJ18" s="120">
        <f t="shared" ref="AJ18" si="11">AJ19+AJ20+AJ21+AJ22+AJ23+AJ24</f>
        <v>0</v>
      </c>
      <c r="AK18" s="277">
        <f t="shared" ref="AK18" si="12">AK19+AK20+AK21+AK22+AK23+AK24</f>
        <v>13.125</v>
      </c>
      <c r="AL18" s="120">
        <f t="shared" ref="AL18" si="13">AL19+AL20+AL21+AL22+AL23+AL24</f>
        <v>0</v>
      </c>
      <c r="AM18" s="120">
        <f>AM19+AM20+AM21+AM22+AM23+AM24</f>
        <v>227</v>
      </c>
      <c r="AN18" s="120">
        <f>AU18+BB18+BI18+BP18</f>
        <v>0</v>
      </c>
      <c r="AO18" s="120">
        <f>AV18+BC18+BJ18+BQ18</f>
        <v>0</v>
      </c>
      <c r="AP18" s="120">
        <f t="shared" ref="AP18:AP43" si="14">AW18+BD18+BK18+BR18</f>
        <v>0</v>
      </c>
      <c r="AQ18" s="120">
        <f t="shared" ref="AQ18:AQ43" si="15">AX18+BE18+BL18+BS18</f>
        <v>0</v>
      </c>
      <c r="AR18" s="120">
        <f t="shared" ref="AR18:AR43" si="16">AY18+BF18+BM18+BT18</f>
        <v>0</v>
      </c>
      <c r="AS18" s="120">
        <f t="shared" ref="AS18:AS43" si="17">AZ18+BG18+BN18+BU18</f>
        <v>0</v>
      </c>
      <c r="AT18" s="120">
        <f>BA18+BH18+BO18+BV18</f>
        <v>0</v>
      </c>
      <c r="AU18" s="120">
        <f>AU19+AU20+AU21+AU22+AU23+AU24</f>
        <v>0</v>
      </c>
      <c r="AV18" s="120">
        <f>AV19+AV20+AV21+AV22+AV23+AV24</f>
        <v>0</v>
      </c>
      <c r="AW18" s="120">
        <f t="shared" ref="AW18" si="18">AW19+AW20+AW21+AW22+AW23+AW24</f>
        <v>0</v>
      </c>
      <c r="AX18" s="120">
        <f t="shared" ref="AX18" si="19">AX19+AX20+AX21+AX22+AX23+AX24</f>
        <v>0</v>
      </c>
      <c r="AY18" s="120">
        <f t="shared" ref="AY18" si="20">AY19+AY20+AY21+AY22+AY23+AY24</f>
        <v>0</v>
      </c>
      <c r="AZ18" s="120">
        <f t="shared" ref="AZ18" si="21">AZ19+AZ20+AZ21+AZ22+AZ23+AZ24</f>
        <v>0</v>
      </c>
      <c r="BA18" s="120">
        <f>BA19+BA20+BA21+BA22+BA23+BA24</f>
        <v>0</v>
      </c>
      <c r="BB18" s="120">
        <f>BB19+BB20+BB21+BB22+BB23+BB24</f>
        <v>0</v>
      </c>
      <c r="BC18" s="120">
        <f>BC19+BC20+BC21+BC22+BC23+BC24</f>
        <v>0</v>
      </c>
      <c r="BD18" s="120">
        <f t="shared" ref="BD18" si="22">BD19+BD20+BD21+BD22+BD23+BD24</f>
        <v>0</v>
      </c>
      <c r="BE18" s="120">
        <f t="shared" ref="BE18" si="23">BE19+BE20+BE21+BE22+BE23+BE24</f>
        <v>0</v>
      </c>
      <c r="BF18" s="120">
        <f t="shared" ref="BF18" si="24">BF19+BF20+BF21+BF22+BF23+BF24</f>
        <v>0</v>
      </c>
      <c r="BG18" s="120">
        <f t="shared" ref="BG18" si="25">BG19+BG20+BG21+BG22+BG23+BG24</f>
        <v>0</v>
      </c>
      <c r="BH18" s="120">
        <f>BH19+BH20+BH21+BH22+BH23+BH24</f>
        <v>0</v>
      </c>
      <c r="BI18" s="120">
        <f>BI19+BI20+BI21+BI22+BI23+BI24</f>
        <v>0</v>
      </c>
      <c r="BJ18" s="120">
        <f>BJ19+BJ20+BJ21+BJ22+BJ23+BJ24</f>
        <v>0</v>
      </c>
      <c r="BK18" s="120">
        <f t="shared" ref="BK18" si="26">BK19+BK20+BK21+BK22+BK23+BK24</f>
        <v>0</v>
      </c>
      <c r="BL18" s="120">
        <f t="shared" ref="BL18" si="27">BL19+BL20+BL21+BL22+BL23+BL24</f>
        <v>0</v>
      </c>
      <c r="BM18" s="120">
        <f t="shared" ref="BM18" si="28">BM19+BM20+BM21+BM22+BM23+BM24</f>
        <v>0</v>
      </c>
      <c r="BN18" s="120">
        <f t="shared" ref="BN18" si="29">BN19+BN20+BN21+BN22+BN23+BN24</f>
        <v>0</v>
      </c>
      <c r="BO18" s="120">
        <f>BO19+BO20+BO21+BO22+BO23+BO24</f>
        <v>0</v>
      </c>
      <c r="BP18" s="120">
        <f>BP19+BP20+BP21+BP22+BP23+BP24</f>
        <v>0</v>
      </c>
      <c r="BQ18" s="120">
        <f>BQ19+BQ20+BQ21+BQ22+BQ23+BQ24</f>
        <v>0</v>
      </c>
      <c r="BR18" s="120">
        <f t="shared" ref="BR18" si="30">BR19+BR20+BR21+BR22+BR23+BR24</f>
        <v>0</v>
      </c>
      <c r="BS18" s="120">
        <f t="shared" ref="BS18" si="31">BS19+BS20+BS21+BS22+BS23+BS24</f>
        <v>0</v>
      </c>
      <c r="BT18" s="120">
        <f t="shared" ref="BT18" si="32">BT19+BT20+BT21+BT22+BT23+BT24</f>
        <v>0</v>
      </c>
      <c r="BU18" s="120">
        <f t="shared" ref="BU18" si="33">BU19+BU20+BU21+BU22+BU23+BU24</f>
        <v>0</v>
      </c>
      <c r="BV18" s="120">
        <f>BV19+BV20+BV21+BV22+BV23+BV24</f>
        <v>0</v>
      </c>
      <c r="BW18" s="120">
        <f>BW19+BW20+BW21+BW22+BW23+BW24</f>
        <v>0</v>
      </c>
      <c r="BX18" s="111"/>
      <c r="BY18" s="120">
        <f>(M18+T18+AA18)-AO18</f>
        <v>0</v>
      </c>
      <c r="BZ18" s="111"/>
      <c r="CA18" s="111"/>
    </row>
    <row r="19" spans="1:79" ht="15.75">
      <c r="A19" s="85" t="s">
        <v>386</v>
      </c>
      <c r="B19" s="86" t="s">
        <v>387</v>
      </c>
      <c r="C19" s="101" t="s">
        <v>385</v>
      </c>
      <c r="D19" s="106">
        <v>0</v>
      </c>
      <c r="E19" s="120">
        <f t="shared" si="0"/>
        <v>0</v>
      </c>
      <c r="F19" s="277">
        <f t="shared" ref="F19:F44" si="34">M19+T19+AA19+AH19</f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0">
        <f t="shared" si="0"/>
        <v>0</v>
      </c>
      <c r="K19" s="120">
        <f t="shared" si="0"/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277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f t="shared" ref="AN19:AN43" si="35">AU19+BB19+BI19+BP19</f>
        <v>0</v>
      </c>
      <c r="AO19" s="120">
        <f t="shared" ref="AO19:AO43" si="36">AV19+BC19+BJ19+BQ19</f>
        <v>0</v>
      </c>
      <c r="AP19" s="120">
        <f t="shared" si="14"/>
        <v>0</v>
      </c>
      <c r="AQ19" s="120">
        <f t="shared" si="15"/>
        <v>0</v>
      </c>
      <c r="AR19" s="120">
        <f t="shared" si="16"/>
        <v>0</v>
      </c>
      <c r="AS19" s="120">
        <f t="shared" si="17"/>
        <v>0</v>
      </c>
      <c r="AT19" s="120">
        <f t="shared" ref="AT19:AT43" si="37">BA19+BH19+BO19+BV19</f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11"/>
      <c r="BY19" s="120">
        <f t="shared" ref="BY19:BY44" si="38">(M19+T19+AA19)-AO19</f>
        <v>0</v>
      </c>
      <c r="BZ19" s="111"/>
      <c r="CA19" s="111"/>
    </row>
    <row r="20" spans="1:79" ht="30">
      <c r="A20" s="87" t="s">
        <v>388</v>
      </c>
      <c r="B20" s="88" t="s">
        <v>389</v>
      </c>
      <c r="C20" s="101" t="s">
        <v>385</v>
      </c>
      <c r="D20" s="119">
        <f>D26</f>
        <v>8.1824999999999992</v>
      </c>
      <c r="E20" s="120">
        <f t="shared" si="0"/>
        <v>0</v>
      </c>
      <c r="F20" s="277">
        <f t="shared" si="34"/>
        <v>8.1824999999999992</v>
      </c>
      <c r="G20" s="120">
        <f t="shared" si="0"/>
        <v>0</v>
      </c>
      <c r="H20" s="120">
        <f t="shared" si="0"/>
        <v>0</v>
      </c>
      <c r="I20" s="277">
        <f t="shared" si="0"/>
        <v>9.1050000000000004</v>
      </c>
      <c r="J20" s="120">
        <f t="shared" si="0"/>
        <v>0</v>
      </c>
      <c r="K20" s="120">
        <f t="shared" si="0"/>
        <v>227</v>
      </c>
      <c r="L20" s="120">
        <f>L26</f>
        <v>0</v>
      </c>
      <c r="M20" s="120">
        <f>M26</f>
        <v>0</v>
      </c>
      <c r="N20" s="120">
        <f t="shared" ref="N20:Q20" si="39">N26</f>
        <v>0</v>
      </c>
      <c r="O20" s="120">
        <f t="shared" si="39"/>
        <v>0</v>
      </c>
      <c r="P20" s="120">
        <f t="shared" si="39"/>
        <v>0</v>
      </c>
      <c r="Q20" s="120">
        <f t="shared" si="39"/>
        <v>0</v>
      </c>
      <c r="R20" s="120">
        <f>R26</f>
        <v>0</v>
      </c>
      <c r="S20" s="120">
        <f>S26</f>
        <v>0</v>
      </c>
      <c r="T20" s="120">
        <f>T26</f>
        <v>0</v>
      </c>
      <c r="U20" s="120">
        <f t="shared" ref="U20:X20" si="40">U26</f>
        <v>0</v>
      </c>
      <c r="V20" s="120">
        <f t="shared" si="40"/>
        <v>0</v>
      </c>
      <c r="W20" s="120">
        <f t="shared" si="40"/>
        <v>0</v>
      </c>
      <c r="X20" s="120">
        <f t="shared" si="40"/>
        <v>0</v>
      </c>
      <c r="Y20" s="120">
        <f>Y26</f>
        <v>0</v>
      </c>
      <c r="Z20" s="120">
        <f>Z26</f>
        <v>0</v>
      </c>
      <c r="AA20" s="120">
        <f>AA26</f>
        <v>0</v>
      </c>
      <c r="AB20" s="120">
        <f t="shared" ref="AB20:AE20" si="41">AB26</f>
        <v>0</v>
      </c>
      <c r="AC20" s="120">
        <f t="shared" si="41"/>
        <v>0</v>
      </c>
      <c r="AD20" s="120">
        <f t="shared" si="41"/>
        <v>0</v>
      </c>
      <c r="AE20" s="120">
        <f t="shared" si="41"/>
        <v>0</v>
      </c>
      <c r="AF20" s="120">
        <f>AF26</f>
        <v>0</v>
      </c>
      <c r="AG20" s="120">
        <f>AG26</f>
        <v>0</v>
      </c>
      <c r="AH20" s="277">
        <f>AH26</f>
        <v>8.1824999999999992</v>
      </c>
      <c r="AI20" s="120">
        <f t="shared" ref="AI20:AL20" si="42">AI26</f>
        <v>0</v>
      </c>
      <c r="AJ20" s="120">
        <f t="shared" si="42"/>
        <v>0</v>
      </c>
      <c r="AK20" s="277">
        <f t="shared" si="42"/>
        <v>9.1050000000000004</v>
      </c>
      <c r="AL20" s="120">
        <f t="shared" si="42"/>
        <v>0</v>
      </c>
      <c r="AM20" s="120">
        <f>AM26</f>
        <v>227</v>
      </c>
      <c r="AN20" s="120">
        <f t="shared" si="35"/>
        <v>0</v>
      </c>
      <c r="AO20" s="120">
        <f t="shared" si="36"/>
        <v>0</v>
      </c>
      <c r="AP20" s="120">
        <f t="shared" si="14"/>
        <v>0</v>
      </c>
      <c r="AQ20" s="120">
        <f t="shared" si="15"/>
        <v>0</v>
      </c>
      <c r="AR20" s="120">
        <f t="shared" si="16"/>
        <v>0</v>
      </c>
      <c r="AS20" s="120">
        <f t="shared" si="17"/>
        <v>0</v>
      </c>
      <c r="AT20" s="120">
        <f t="shared" si="37"/>
        <v>0</v>
      </c>
      <c r="AU20" s="120">
        <f>AU26</f>
        <v>0</v>
      </c>
      <c r="AV20" s="120">
        <f>AV26</f>
        <v>0</v>
      </c>
      <c r="AW20" s="120">
        <f t="shared" ref="AW20:AZ20" si="43">AW26</f>
        <v>0</v>
      </c>
      <c r="AX20" s="120">
        <f t="shared" si="43"/>
        <v>0</v>
      </c>
      <c r="AY20" s="120">
        <f t="shared" si="43"/>
        <v>0</v>
      </c>
      <c r="AZ20" s="120">
        <f t="shared" si="43"/>
        <v>0</v>
      </c>
      <c r="BA20" s="120">
        <f>BA26</f>
        <v>0</v>
      </c>
      <c r="BB20" s="120">
        <f>BB26</f>
        <v>0</v>
      </c>
      <c r="BC20" s="120">
        <f>BC26</f>
        <v>0</v>
      </c>
      <c r="BD20" s="120">
        <f t="shared" ref="BD20:BG20" si="44">BD26</f>
        <v>0</v>
      </c>
      <c r="BE20" s="120">
        <f t="shared" si="44"/>
        <v>0</v>
      </c>
      <c r="BF20" s="120">
        <f t="shared" si="44"/>
        <v>0</v>
      </c>
      <c r="BG20" s="120">
        <f t="shared" si="44"/>
        <v>0</v>
      </c>
      <c r="BH20" s="120">
        <f>BH26</f>
        <v>0</v>
      </c>
      <c r="BI20" s="120">
        <f>BI26</f>
        <v>0</v>
      </c>
      <c r="BJ20" s="120">
        <f>BJ26</f>
        <v>0</v>
      </c>
      <c r="BK20" s="120">
        <f t="shared" ref="BK20:BN20" si="45">BK26</f>
        <v>0</v>
      </c>
      <c r="BL20" s="120">
        <f t="shared" si="45"/>
        <v>0</v>
      </c>
      <c r="BM20" s="120">
        <f t="shared" si="45"/>
        <v>0</v>
      </c>
      <c r="BN20" s="120">
        <f t="shared" si="45"/>
        <v>0</v>
      </c>
      <c r="BO20" s="120">
        <f>BO26</f>
        <v>0</v>
      </c>
      <c r="BP20" s="120">
        <f>BP26</f>
        <v>0</v>
      </c>
      <c r="BQ20" s="120">
        <f>BQ26</f>
        <v>0</v>
      </c>
      <c r="BR20" s="120">
        <f t="shared" ref="BR20:BU20" si="46">BR26</f>
        <v>0</v>
      </c>
      <c r="BS20" s="120">
        <f t="shared" si="46"/>
        <v>0</v>
      </c>
      <c r="BT20" s="120">
        <f t="shared" si="46"/>
        <v>0</v>
      </c>
      <c r="BU20" s="120">
        <f t="shared" si="46"/>
        <v>0</v>
      </c>
      <c r="BV20" s="120">
        <f>BV26</f>
        <v>0</v>
      </c>
      <c r="BW20" s="120">
        <f>BW26</f>
        <v>0</v>
      </c>
      <c r="BX20" s="111"/>
      <c r="BY20" s="120">
        <f t="shared" si="38"/>
        <v>0</v>
      </c>
      <c r="BZ20" s="111"/>
      <c r="CA20" s="111"/>
    </row>
    <row r="21" spans="1:79" ht="60">
      <c r="A21" s="87" t="s">
        <v>390</v>
      </c>
      <c r="B21" s="88" t="s">
        <v>391</v>
      </c>
      <c r="C21" s="101" t="s">
        <v>385</v>
      </c>
      <c r="D21" s="5">
        <v>0</v>
      </c>
      <c r="E21" s="120">
        <f t="shared" si="0"/>
        <v>0</v>
      </c>
      <c r="F21" s="277">
        <f t="shared" si="34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 t="shared" si="0"/>
        <v>0</v>
      </c>
      <c r="K21" s="120">
        <f t="shared" si="0"/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106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120">
        <f t="shared" si="35"/>
        <v>0</v>
      </c>
      <c r="AO21" s="120">
        <f t="shared" si="36"/>
        <v>0</v>
      </c>
      <c r="AP21" s="120">
        <f t="shared" si="14"/>
        <v>0</v>
      </c>
      <c r="AQ21" s="120">
        <f t="shared" si="15"/>
        <v>0</v>
      </c>
      <c r="AR21" s="120">
        <f t="shared" si="16"/>
        <v>0</v>
      </c>
      <c r="AS21" s="120">
        <f t="shared" si="17"/>
        <v>0</v>
      </c>
      <c r="AT21" s="120">
        <f t="shared" si="37"/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111"/>
      <c r="BY21" s="120">
        <f t="shared" si="38"/>
        <v>0</v>
      </c>
      <c r="BZ21" s="111"/>
      <c r="CA21" s="111"/>
    </row>
    <row r="22" spans="1:79" ht="30">
      <c r="A22" s="87" t="s">
        <v>392</v>
      </c>
      <c r="B22" s="86" t="s">
        <v>393</v>
      </c>
      <c r="C22" s="101" t="s">
        <v>385</v>
      </c>
      <c r="D22" s="5">
        <f>D40</f>
        <v>3.327</v>
      </c>
      <c r="E22" s="120">
        <f t="shared" si="0"/>
        <v>0</v>
      </c>
      <c r="F22" s="277">
        <f t="shared" si="34"/>
        <v>3.327</v>
      </c>
      <c r="G22" s="120">
        <f t="shared" si="0"/>
        <v>0.16</v>
      </c>
      <c r="H22" s="120">
        <f t="shared" si="0"/>
        <v>0</v>
      </c>
      <c r="I22" s="120">
        <f t="shared" si="0"/>
        <v>4.0199999999999996</v>
      </c>
      <c r="J22" s="120">
        <f t="shared" si="0"/>
        <v>0</v>
      </c>
      <c r="K22" s="120">
        <f t="shared" si="0"/>
        <v>0</v>
      </c>
      <c r="L22" s="5">
        <f>L40</f>
        <v>0</v>
      </c>
      <c r="M22" s="5">
        <f>M40</f>
        <v>0</v>
      </c>
      <c r="N22" s="5">
        <f t="shared" ref="N22:Q22" si="47">N40</f>
        <v>0</v>
      </c>
      <c r="O22" s="5">
        <f t="shared" si="47"/>
        <v>0</v>
      </c>
      <c r="P22" s="5">
        <f t="shared" si="47"/>
        <v>0</v>
      </c>
      <c r="Q22" s="5">
        <f t="shared" si="47"/>
        <v>0</v>
      </c>
      <c r="R22" s="5">
        <f>R40</f>
        <v>0</v>
      </c>
      <c r="S22" s="5">
        <f>S40</f>
        <v>0</v>
      </c>
      <c r="T22" s="5">
        <f>T40</f>
        <v>0</v>
      </c>
      <c r="U22" s="5">
        <f t="shared" ref="U22:X22" si="48">U40</f>
        <v>0</v>
      </c>
      <c r="V22" s="5">
        <f t="shared" si="48"/>
        <v>0</v>
      </c>
      <c r="W22" s="5">
        <f t="shared" si="48"/>
        <v>0</v>
      </c>
      <c r="X22" s="5">
        <f t="shared" si="48"/>
        <v>0</v>
      </c>
      <c r="Y22" s="5">
        <f>Y40</f>
        <v>0</v>
      </c>
      <c r="Z22" s="5">
        <f>Z40</f>
        <v>0</v>
      </c>
      <c r="AA22" s="5">
        <f>AA40</f>
        <v>0</v>
      </c>
      <c r="AB22" s="5">
        <f t="shared" ref="AB22:AE22" si="49">AB40</f>
        <v>0</v>
      </c>
      <c r="AC22" s="5">
        <f t="shared" si="49"/>
        <v>0</v>
      </c>
      <c r="AD22" s="5">
        <f t="shared" si="49"/>
        <v>0</v>
      </c>
      <c r="AE22" s="5">
        <f t="shared" si="49"/>
        <v>0</v>
      </c>
      <c r="AF22" s="5">
        <f>AF40</f>
        <v>0</v>
      </c>
      <c r="AG22" s="5">
        <f>AG40</f>
        <v>0</v>
      </c>
      <c r="AH22" s="106">
        <f>AH40</f>
        <v>3.327</v>
      </c>
      <c r="AI22" s="5">
        <f t="shared" ref="AI22:AL22" si="50">AI40</f>
        <v>0.16</v>
      </c>
      <c r="AJ22" s="5">
        <f t="shared" si="50"/>
        <v>0</v>
      </c>
      <c r="AK22" s="5">
        <f t="shared" si="50"/>
        <v>4.0199999999999996</v>
      </c>
      <c r="AL22" s="5">
        <f t="shared" si="50"/>
        <v>0</v>
      </c>
      <c r="AM22" s="5">
        <f>AM40</f>
        <v>0</v>
      </c>
      <c r="AN22" s="120">
        <f t="shared" si="35"/>
        <v>0</v>
      </c>
      <c r="AO22" s="120">
        <f t="shared" si="36"/>
        <v>0</v>
      </c>
      <c r="AP22" s="120">
        <f t="shared" si="14"/>
        <v>0</v>
      </c>
      <c r="AQ22" s="120">
        <f t="shared" si="15"/>
        <v>0</v>
      </c>
      <c r="AR22" s="120">
        <f t="shared" si="16"/>
        <v>0</v>
      </c>
      <c r="AS22" s="120">
        <f t="shared" si="17"/>
        <v>0</v>
      </c>
      <c r="AT22" s="120">
        <f t="shared" si="37"/>
        <v>0</v>
      </c>
      <c r="AU22" s="5">
        <f>AU40</f>
        <v>0</v>
      </c>
      <c r="AV22" s="5">
        <f>AV40</f>
        <v>0</v>
      </c>
      <c r="AW22" s="5">
        <f t="shared" ref="AW22:AZ22" si="51">AW40</f>
        <v>0</v>
      </c>
      <c r="AX22" s="5">
        <f t="shared" si="51"/>
        <v>0</v>
      </c>
      <c r="AY22" s="5">
        <f t="shared" si="51"/>
        <v>0</v>
      </c>
      <c r="AZ22" s="5">
        <f t="shared" si="51"/>
        <v>0</v>
      </c>
      <c r="BA22" s="5">
        <f>BA40</f>
        <v>0</v>
      </c>
      <c r="BB22" s="5">
        <f>BB40</f>
        <v>0</v>
      </c>
      <c r="BC22" s="5">
        <f>BC40</f>
        <v>0</v>
      </c>
      <c r="BD22" s="5">
        <f t="shared" ref="BD22:BG22" si="52">BD40</f>
        <v>0</v>
      </c>
      <c r="BE22" s="5">
        <f t="shared" si="52"/>
        <v>0</v>
      </c>
      <c r="BF22" s="5">
        <f t="shared" si="52"/>
        <v>0</v>
      </c>
      <c r="BG22" s="5">
        <f t="shared" si="52"/>
        <v>0</v>
      </c>
      <c r="BH22" s="5">
        <f>BH40</f>
        <v>0</v>
      </c>
      <c r="BI22" s="5">
        <f>BI40</f>
        <v>0</v>
      </c>
      <c r="BJ22" s="5">
        <f>BJ40</f>
        <v>0</v>
      </c>
      <c r="BK22" s="5">
        <f t="shared" ref="BK22:BN22" si="53">BK40</f>
        <v>0</v>
      </c>
      <c r="BL22" s="5">
        <f t="shared" si="53"/>
        <v>0</v>
      </c>
      <c r="BM22" s="5">
        <f t="shared" si="53"/>
        <v>0</v>
      </c>
      <c r="BN22" s="5">
        <f t="shared" si="53"/>
        <v>0</v>
      </c>
      <c r="BO22" s="5">
        <f>BO40</f>
        <v>0</v>
      </c>
      <c r="BP22" s="5">
        <f>BP40</f>
        <v>0</v>
      </c>
      <c r="BQ22" s="5">
        <f>BQ40</f>
        <v>0</v>
      </c>
      <c r="BR22" s="5">
        <f t="shared" ref="BR22:BU22" si="54">BR40</f>
        <v>0</v>
      </c>
      <c r="BS22" s="5">
        <f t="shared" si="54"/>
        <v>0</v>
      </c>
      <c r="BT22" s="5">
        <f t="shared" si="54"/>
        <v>0</v>
      </c>
      <c r="BU22" s="5">
        <f t="shared" si="54"/>
        <v>0</v>
      </c>
      <c r="BV22" s="5">
        <f>BV40</f>
        <v>0</v>
      </c>
      <c r="BW22" s="5">
        <f>BW40</f>
        <v>0</v>
      </c>
      <c r="BX22" s="111"/>
      <c r="BY22" s="120">
        <f t="shared" si="38"/>
        <v>0</v>
      </c>
      <c r="BZ22" s="111"/>
      <c r="CA22" s="111"/>
    </row>
    <row r="23" spans="1:79" ht="30">
      <c r="A23" s="87" t="s">
        <v>394</v>
      </c>
      <c r="B23" s="86" t="s">
        <v>395</v>
      </c>
      <c r="C23" s="101" t="s">
        <v>385</v>
      </c>
      <c r="D23" s="5">
        <v>0</v>
      </c>
      <c r="E23" s="120">
        <f t="shared" si="0"/>
        <v>0</v>
      </c>
      <c r="F23" s="277">
        <f t="shared" si="34"/>
        <v>0</v>
      </c>
      <c r="G23" s="120">
        <f t="shared" si="0"/>
        <v>0</v>
      </c>
      <c r="H23" s="120">
        <f t="shared" si="0"/>
        <v>0</v>
      </c>
      <c r="I23" s="120">
        <f t="shared" si="0"/>
        <v>0</v>
      </c>
      <c r="J23" s="120">
        <f t="shared" si="0"/>
        <v>0</v>
      </c>
      <c r="K23" s="120">
        <f t="shared" si="0"/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106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120">
        <f t="shared" si="35"/>
        <v>0</v>
      </c>
      <c r="AO23" s="120">
        <f t="shared" si="36"/>
        <v>0</v>
      </c>
      <c r="AP23" s="120">
        <f t="shared" si="14"/>
        <v>0</v>
      </c>
      <c r="AQ23" s="120">
        <f t="shared" si="15"/>
        <v>0</v>
      </c>
      <c r="AR23" s="120">
        <f t="shared" si="16"/>
        <v>0</v>
      </c>
      <c r="AS23" s="120">
        <f t="shared" si="17"/>
        <v>0</v>
      </c>
      <c r="AT23" s="120">
        <f t="shared" si="37"/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111"/>
      <c r="BY23" s="120">
        <f t="shared" si="38"/>
        <v>0</v>
      </c>
      <c r="BZ23" s="111"/>
      <c r="CA23" s="111"/>
    </row>
    <row r="24" spans="1:79" ht="15.75">
      <c r="A24" s="87" t="s">
        <v>396</v>
      </c>
      <c r="B24" s="86" t="s">
        <v>397</v>
      </c>
      <c r="C24" s="101" t="s">
        <v>385</v>
      </c>
      <c r="D24" s="5">
        <v>0</v>
      </c>
      <c r="E24" s="120">
        <f t="shared" si="0"/>
        <v>0</v>
      </c>
      <c r="F24" s="277">
        <f t="shared" si="34"/>
        <v>0</v>
      </c>
      <c r="G24" s="120">
        <f t="shared" si="0"/>
        <v>0</v>
      </c>
      <c r="H24" s="120">
        <f t="shared" si="0"/>
        <v>0</v>
      </c>
      <c r="I24" s="120">
        <f t="shared" si="0"/>
        <v>0</v>
      </c>
      <c r="J24" s="120">
        <f t="shared" si="0"/>
        <v>0</v>
      </c>
      <c r="K24" s="120">
        <f t="shared" si="0"/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106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120">
        <f t="shared" si="35"/>
        <v>0</v>
      </c>
      <c r="AO24" s="120">
        <f t="shared" si="36"/>
        <v>0</v>
      </c>
      <c r="AP24" s="120">
        <f t="shared" si="14"/>
        <v>0</v>
      </c>
      <c r="AQ24" s="120">
        <f t="shared" si="15"/>
        <v>0</v>
      </c>
      <c r="AR24" s="120">
        <f t="shared" si="16"/>
        <v>0</v>
      </c>
      <c r="AS24" s="120">
        <f t="shared" si="17"/>
        <v>0</v>
      </c>
      <c r="AT24" s="120">
        <f t="shared" si="37"/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111"/>
      <c r="BY24" s="120">
        <f t="shared" si="38"/>
        <v>0</v>
      </c>
      <c r="BZ24" s="111"/>
      <c r="CA24" s="111"/>
    </row>
    <row r="25" spans="1:79" ht="15.75">
      <c r="A25" s="89" t="s">
        <v>398</v>
      </c>
      <c r="B25" s="90" t="s">
        <v>399</v>
      </c>
      <c r="C25" s="101" t="s">
        <v>385</v>
      </c>
      <c r="D25" s="5">
        <f>D26+D40</f>
        <v>11.509499999999999</v>
      </c>
      <c r="E25" s="120">
        <f t="shared" si="0"/>
        <v>0</v>
      </c>
      <c r="F25" s="277">
        <f t="shared" si="34"/>
        <v>11.509499999999999</v>
      </c>
      <c r="G25" s="120">
        <f t="shared" si="0"/>
        <v>0.16</v>
      </c>
      <c r="H25" s="120">
        <f t="shared" si="0"/>
        <v>0</v>
      </c>
      <c r="I25" s="277">
        <f t="shared" si="0"/>
        <v>13.125</v>
      </c>
      <c r="J25" s="120">
        <f t="shared" si="0"/>
        <v>0</v>
      </c>
      <c r="K25" s="120">
        <f t="shared" si="0"/>
        <v>227</v>
      </c>
      <c r="L25" s="5">
        <f>L26+L40</f>
        <v>0</v>
      </c>
      <c r="M25" s="5">
        <f>M26+M40</f>
        <v>0</v>
      </c>
      <c r="N25" s="5">
        <f t="shared" ref="N25:Q25" si="55">N26+N40</f>
        <v>0</v>
      </c>
      <c r="O25" s="5">
        <f t="shared" si="55"/>
        <v>0</v>
      </c>
      <c r="P25" s="5">
        <f t="shared" si="55"/>
        <v>0</v>
      </c>
      <c r="Q25" s="5">
        <f t="shared" si="55"/>
        <v>0</v>
      </c>
      <c r="R25" s="5">
        <f>R26+R40</f>
        <v>0</v>
      </c>
      <c r="S25" s="5">
        <f>S26+S40</f>
        <v>0</v>
      </c>
      <c r="T25" s="5">
        <f>T26+T40</f>
        <v>0</v>
      </c>
      <c r="U25" s="5">
        <f t="shared" ref="U25" si="56">U26+U40</f>
        <v>0</v>
      </c>
      <c r="V25" s="5">
        <f t="shared" ref="V25" si="57">V26+V40</f>
        <v>0</v>
      </c>
      <c r="W25" s="5">
        <f t="shared" ref="W25" si="58">W26+W40</f>
        <v>0</v>
      </c>
      <c r="X25" s="5">
        <f t="shared" ref="X25" si="59">X26+X40</f>
        <v>0</v>
      </c>
      <c r="Y25" s="5">
        <f>Y26+Y40</f>
        <v>0</v>
      </c>
      <c r="Z25" s="5">
        <f>Z26+Z40</f>
        <v>0</v>
      </c>
      <c r="AA25" s="5">
        <f>AA26+AA40</f>
        <v>0</v>
      </c>
      <c r="AB25" s="5">
        <f t="shared" ref="AB25" si="60">AB26+AB40</f>
        <v>0</v>
      </c>
      <c r="AC25" s="5">
        <f t="shared" ref="AC25" si="61">AC26+AC40</f>
        <v>0</v>
      </c>
      <c r="AD25" s="5">
        <f t="shared" ref="AD25" si="62">AD26+AD40</f>
        <v>0</v>
      </c>
      <c r="AE25" s="5">
        <f t="shared" ref="AE25" si="63">AE26+AE40</f>
        <v>0</v>
      </c>
      <c r="AF25" s="5">
        <f>AF26+AF40</f>
        <v>0</v>
      </c>
      <c r="AG25" s="5">
        <f>AG26+AG40</f>
        <v>0</v>
      </c>
      <c r="AH25" s="106">
        <f>AH26+AH40</f>
        <v>11.509499999999999</v>
      </c>
      <c r="AI25" s="5">
        <f t="shared" ref="AI25" si="64">AI26+AI40</f>
        <v>0.16</v>
      </c>
      <c r="AJ25" s="5">
        <f t="shared" ref="AJ25" si="65">AJ26+AJ40</f>
        <v>0</v>
      </c>
      <c r="AK25" s="106">
        <f t="shared" ref="AK25" si="66">AK26+AK40</f>
        <v>13.125</v>
      </c>
      <c r="AL25" s="5">
        <f t="shared" ref="AL25" si="67">AL26+AL40</f>
        <v>0</v>
      </c>
      <c r="AM25" s="5">
        <f>AM26+AM40</f>
        <v>227</v>
      </c>
      <c r="AN25" s="120">
        <f t="shared" si="35"/>
        <v>0</v>
      </c>
      <c r="AO25" s="120">
        <f t="shared" si="36"/>
        <v>0</v>
      </c>
      <c r="AP25" s="120">
        <f t="shared" si="14"/>
        <v>0</v>
      </c>
      <c r="AQ25" s="120">
        <f t="shared" si="15"/>
        <v>0</v>
      </c>
      <c r="AR25" s="120">
        <f t="shared" si="16"/>
        <v>0</v>
      </c>
      <c r="AS25" s="120">
        <f t="shared" si="17"/>
        <v>0</v>
      </c>
      <c r="AT25" s="120">
        <f t="shared" si="37"/>
        <v>0</v>
      </c>
      <c r="AU25" s="5">
        <f>AU26+AU40</f>
        <v>0</v>
      </c>
      <c r="AV25" s="5">
        <f>AV26+AV40</f>
        <v>0</v>
      </c>
      <c r="AW25" s="5">
        <f t="shared" ref="AW25" si="68">AW26+AW40</f>
        <v>0</v>
      </c>
      <c r="AX25" s="5">
        <f t="shared" ref="AX25" si="69">AX26+AX40</f>
        <v>0</v>
      </c>
      <c r="AY25" s="5">
        <f t="shared" ref="AY25" si="70">AY26+AY40</f>
        <v>0</v>
      </c>
      <c r="AZ25" s="5">
        <f t="shared" ref="AZ25" si="71">AZ26+AZ40</f>
        <v>0</v>
      </c>
      <c r="BA25" s="5">
        <f>BA26+BA40</f>
        <v>0</v>
      </c>
      <c r="BB25" s="5">
        <f>BB26+BB40</f>
        <v>0</v>
      </c>
      <c r="BC25" s="5">
        <f>BC26+BC40</f>
        <v>0</v>
      </c>
      <c r="BD25" s="5">
        <f t="shared" ref="BD25" si="72">BD26+BD40</f>
        <v>0</v>
      </c>
      <c r="BE25" s="5">
        <f t="shared" ref="BE25" si="73">BE26+BE40</f>
        <v>0</v>
      </c>
      <c r="BF25" s="5">
        <f t="shared" ref="BF25" si="74">BF26+BF40</f>
        <v>0</v>
      </c>
      <c r="BG25" s="5">
        <f t="shared" ref="BG25" si="75">BG26+BG40</f>
        <v>0</v>
      </c>
      <c r="BH25" s="5">
        <f>BH26+BH40</f>
        <v>0</v>
      </c>
      <c r="BI25" s="5">
        <f>BI26+BI40</f>
        <v>0</v>
      </c>
      <c r="BJ25" s="5">
        <f>BJ26+BJ40</f>
        <v>0</v>
      </c>
      <c r="BK25" s="5">
        <f t="shared" ref="BK25" si="76">BK26+BK40</f>
        <v>0</v>
      </c>
      <c r="BL25" s="5">
        <f t="shared" ref="BL25" si="77">BL26+BL40</f>
        <v>0</v>
      </c>
      <c r="BM25" s="5">
        <f t="shared" ref="BM25" si="78">BM26+BM40</f>
        <v>0</v>
      </c>
      <c r="BN25" s="5">
        <f t="shared" ref="BN25" si="79">BN26+BN40</f>
        <v>0</v>
      </c>
      <c r="BO25" s="5">
        <f>BO26+BO40</f>
        <v>0</v>
      </c>
      <c r="BP25" s="5">
        <f>BP26+BP40</f>
        <v>0</v>
      </c>
      <c r="BQ25" s="5">
        <f>BQ26+BQ40</f>
        <v>0</v>
      </c>
      <c r="BR25" s="5">
        <f t="shared" ref="BR25" si="80">BR26+BR40</f>
        <v>0</v>
      </c>
      <c r="BS25" s="5">
        <f t="shared" ref="BS25" si="81">BS26+BS40</f>
        <v>0</v>
      </c>
      <c r="BT25" s="5">
        <f t="shared" ref="BT25" si="82">BT26+BT40</f>
        <v>0</v>
      </c>
      <c r="BU25" s="5">
        <f t="shared" ref="BU25" si="83">BU26+BU40</f>
        <v>0</v>
      </c>
      <c r="BV25" s="5">
        <f>BV26+BV40</f>
        <v>0</v>
      </c>
      <c r="BW25" s="5">
        <f>BW26+BW40</f>
        <v>0</v>
      </c>
      <c r="BX25" s="111"/>
      <c r="BY25" s="120">
        <f t="shared" si="38"/>
        <v>0</v>
      </c>
      <c r="BZ25" s="111"/>
      <c r="CA25" s="111"/>
    </row>
    <row r="26" spans="1:79" ht="42.75">
      <c r="A26" s="89" t="s">
        <v>400</v>
      </c>
      <c r="B26" s="90" t="s">
        <v>401</v>
      </c>
      <c r="C26" s="101" t="s">
        <v>385</v>
      </c>
      <c r="D26" s="5">
        <f>D27+D29+D36</f>
        <v>8.1824999999999992</v>
      </c>
      <c r="E26" s="120">
        <f t="shared" si="0"/>
        <v>0</v>
      </c>
      <c r="F26" s="277">
        <f t="shared" si="34"/>
        <v>8.1824999999999992</v>
      </c>
      <c r="G26" s="120">
        <f t="shared" si="0"/>
        <v>0</v>
      </c>
      <c r="H26" s="120">
        <f t="shared" si="0"/>
        <v>0</v>
      </c>
      <c r="I26" s="277">
        <f t="shared" si="0"/>
        <v>9.1050000000000004</v>
      </c>
      <c r="J26" s="120">
        <f t="shared" si="0"/>
        <v>0</v>
      </c>
      <c r="K26" s="120">
        <f t="shared" si="0"/>
        <v>227</v>
      </c>
      <c r="L26" s="5">
        <f>L27+L29+L36</f>
        <v>0</v>
      </c>
      <c r="M26" s="5">
        <f>M27+M29+M36</f>
        <v>0</v>
      </c>
      <c r="N26" s="5">
        <f t="shared" ref="N26:Q26" si="84">N27+N29+N36</f>
        <v>0</v>
      </c>
      <c r="O26" s="5">
        <f t="shared" si="84"/>
        <v>0</v>
      </c>
      <c r="P26" s="5">
        <f t="shared" si="84"/>
        <v>0</v>
      </c>
      <c r="Q26" s="5">
        <f t="shared" si="84"/>
        <v>0</v>
      </c>
      <c r="R26" s="5">
        <f>R27+R29+R36</f>
        <v>0</v>
      </c>
      <c r="S26" s="5">
        <f>S27+S29+S36</f>
        <v>0</v>
      </c>
      <c r="T26" s="5">
        <f>T27+T29+T36</f>
        <v>0</v>
      </c>
      <c r="U26" s="5">
        <f t="shared" ref="U26" si="85">U27+U29+U36</f>
        <v>0</v>
      </c>
      <c r="V26" s="5">
        <f t="shared" ref="V26" si="86">V27+V29+V36</f>
        <v>0</v>
      </c>
      <c r="W26" s="5">
        <f t="shared" ref="W26" si="87">W27+W29+W36</f>
        <v>0</v>
      </c>
      <c r="X26" s="5">
        <f t="shared" ref="X26" si="88">X27+X29+X36</f>
        <v>0</v>
      </c>
      <c r="Y26" s="5">
        <f>Y27+Y29+Y36</f>
        <v>0</v>
      </c>
      <c r="Z26" s="5">
        <f>Z27+Z29+Z36</f>
        <v>0</v>
      </c>
      <c r="AA26" s="5">
        <f>AA27+AA29+AA36</f>
        <v>0</v>
      </c>
      <c r="AB26" s="5">
        <f t="shared" ref="AB26" si="89">AB27+AB29+AB36</f>
        <v>0</v>
      </c>
      <c r="AC26" s="5">
        <f t="shared" ref="AC26" si="90">AC27+AC29+AC36</f>
        <v>0</v>
      </c>
      <c r="AD26" s="5">
        <f t="shared" ref="AD26" si="91">AD27+AD29+AD36</f>
        <v>0</v>
      </c>
      <c r="AE26" s="5">
        <f t="shared" ref="AE26" si="92">AE27+AE29+AE36</f>
        <v>0</v>
      </c>
      <c r="AF26" s="5">
        <f>AF27+AF29+AF36</f>
        <v>0</v>
      </c>
      <c r="AG26" s="5">
        <f>AG27+AG29+AG36</f>
        <v>0</v>
      </c>
      <c r="AH26" s="106">
        <f>AH27+AH29+AH36</f>
        <v>8.1824999999999992</v>
      </c>
      <c r="AI26" s="5">
        <f t="shared" ref="AI26" si="93">AI27+AI29+AI36</f>
        <v>0</v>
      </c>
      <c r="AJ26" s="5">
        <f t="shared" ref="AJ26" si="94">AJ27+AJ29+AJ36</f>
        <v>0</v>
      </c>
      <c r="AK26" s="106">
        <f t="shared" ref="AK26" si="95">AK27+AK29+AK36</f>
        <v>9.1050000000000004</v>
      </c>
      <c r="AL26" s="5">
        <f t="shared" ref="AL26" si="96">AL27+AL29+AL36</f>
        <v>0</v>
      </c>
      <c r="AM26" s="5">
        <f>AM27+AM29+AM36</f>
        <v>227</v>
      </c>
      <c r="AN26" s="120">
        <f t="shared" si="35"/>
        <v>0</v>
      </c>
      <c r="AO26" s="120">
        <f t="shared" si="36"/>
        <v>0</v>
      </c>
      <c r="AP26" s="120">
        <f t="shared" si="14"/>
        <v>0</v>
      </c>
      <c r="AQ26" s="120">
        <f t="shared" si="15"/>
        <v>0</v>
      </c>
      <c r="AR26" s="120">
        <f t="shared" si="16"/>
        <v>0</v>
      </c>
      <c r="AS26" s="120">
        <f t="shared" si="17"/>
        <v>0</v>
      </c>
      <c r="AT26" s="120">
        <f t="shared" si="37"/>
        <v>0</v>
      </c>
      <c r="AU26" s="5">
        <f>AU27+AU29+AU36</f>
        <v>0</v>
      </c>
      <c r="AV26" s="5">
        <f>AV27+AV29+AV36</f>
        <v>0</v>
      </c>
      <c r="AW26" s="5">
        <f t="shared" ref="AW26" si="97">AW27+AW29+AW36</f>
        <v>0</v>
      </c>
      <c r="AX26" s="5">
        <f t="shared" ref="AX26" si="98">AX27+AX29+AX36</f>
        <v>0</v>
      </c>
      <c r="AY26" s="5">
        <f t="shared" ref="AY26" si="99">AY27+AY29+AY36</f>
        <v>0</v>
      </c>
      <c r="AZ26" s="5">
        <f t="shared" ref="AZ26" si="100">AZ27+AZ29+AZ36</f>
        <v>0</v>
      </c>
      <c r="BA26" s="5">
        <f>BA27+BA29+BA36</f>
        <v>0</v>
      </c>
      <c r="BB26" s="5">
        <f>BB27+BB29+BB36</f>
        <v>0</v>
      </c>
      <c r="BC26" s="5">
        <f>BC27+BC29+BC36</f>
        <v>0</v>
      </c>
      <c r="BD26" s="5">
        <f t="shared" ref="BD26" si="101">BD27+BD29+BD36</f>
        <v>0</v>
      </c>
      <c r="BE26" s="5">
        <f t="shared" ref="BE26" si="102">BE27+BE29+BE36</f>
        <v>0</v>
      </c>
      <c r="BF26" s="5">
        <f t="shared" ref="BF26" si="103">BF27+BF29+BF36</f>
        <v>0</v>
      </c>
      <c r="BG26" s="5">
        <f t="shared" ref="BG26" si="104">BG27+BG29+BG36</f>
        <v>0</v>
      </c>
      <c r="BH26" s="5">
        <f>BH27+BH29+BH36</f>
        <v>0</v>
      </c>
      <c r="BI26" s="5">
        <f>BI27+BI29+BI36</f>
        <v>0</v>
      </c>
      <c r="BJ26" s="5">
        <f>BJ27+BJ29+BJ36</f>
        <v>0</v>
      </c>
      <c r="BK26" s="5">
        <f t="shared" ref="BK26" si="105">BK27+BK29+BK36</f>
        <v>0</v>
      </c>
      <c r="BL26" s="5">
        <f t="shared" ref="BL26" si="106">BL27+BL29+BL36</f>
        <v>0</v>
      </c>
      <c r="BM26" s="5">
        <f t="shared" ref="BM26" si="107">BM27+BM29+BM36</f>
        <v>0</v>
      </c>
      <c r="BN26" s="5">
        <f t="shared" ref="BN26" si="108">BN27+BN29+BN36</f>
        <v>0</v>
      </c>
      <c r="BO26" s="5">
        <f>BO27+BO29+BO36</f>
        <v>0</v>
      </c>
      <c r="BP26" s="5">
        <f>BP27+BP29+BP36</f>
        <v>0</v>
      </c>
      <c r="BQ26" s="5">
        <f>BQ27+BQ29+BQ36</f>
        <v>0</v>
      </c>
      <c r="BR26" s="5">
        <f t="shared" ref="BR26" si="109">BR27+BR29+BR36</f>
        <v>0</v>
      </c>
      <c r="BS26" s="5">
        <f t="shared" ref="BS26" si="110">BS27+BS29+BS36</f>
        <v>0</v>
      </c>
      <c r="BT26" s="5">
        <f t="shared" ref="BT26" si="111">BT27+BT29+BT36</f>
        <v>0</v>
      </c>
      <c r="BU26" s="5">
        <f t="shared" ref="BU26" si="112">BU27+BU29+BU36</f>
        <v>0</v>
      </c>
      <c r="BV26" s="5">
        <f>BV27+BV29+BV36</f>
        <v>0</v>
      </c>
      <c r="BW26" s="5">
        <f>BW27+BW29+BW36</f>
        <v>0</v>
      </c>
      <c r="BX26" s="111"/>
      <c r="BY26" s="120">
        <f t="shared" si="38"/>
        <v>0</v>
      </c>
      <c r="BZ26" s="111"/>
      <c r="CA26" s="111"/>
    </row>
    <row r="27" spans="1:79" ht="60">
      <c r="A27" s="89" t="s">
        <v>402</v>
      </c>
      <c r="B27" s="86" t="s">
        <v>403</v>
      </c>
      <c r="C27" s="101" t="s">
        <v>385</v>
      </c>
      <c r="D27" s="5">
        <f>D28</f>
        <v>0</v>
      </c>
      <c r="E27" s="120">
        <f t="shared" si="0"/>
        <v>0</v>
      </c>
      <c r="F27" s="277">
        <f t="shared" si="34"/>
        <v>0</v>
      </c>
      <c r="G27" s="120">
        <f t="shared" si="0"/>
        <v>0</v>
      </c>
      <c r="H27" s="120">
        <f t="shared" si="0"/>
        <v>0</v>
      </c>
      <c r="I27" s="120">
        <f t="shared" si="0"/>
        <v>0</v>
      </c>
      <c r="J27" s="120">
        <f t="shared" si="0"/>
        <v>0</v>
      </c>
      <c r="K27" s="120">
        <f t="shared" si="0"/>
        <v>0</v>
      </c>
      <c r="L27" s="5">
        <f>L28</f>
        <v>0</v>
      </c>
      <c r="M27" s="5">
        <f>M28</f>
        <v>0</v>
      </c>
      <c r="N27" s="5">
        <f t="shared" ref="N27:Q27" si="113">N28</f>
        <v>0</v>
      </c>
      <c r="O27" s="5">
        <f t="shared" si="113"/>
        <v>0</v>
      </c>
      <c r="P27" s="5">
        <f t="shared" si="113"/>
        <v>0</v>
      </c>
      <c r="Q27" s="5">
        <f t="shared" si="113"/>
        <v>0</v>
      </c>
      <c r="R27" s="5">
        <f>R28</f>
        <v>0</v>
      </c>
      <c r="S27" s="5">
        <f>S28</f>
        <v>0</v>
      </c>
      <c r="T27" s="5">
        <f>T28</f>
        <v>0</v>
      </c>
      <c r="U27" s="5">
        <f t="shared" ref="U27" si="114">U28</f>
        <v>0</v>
      </c>
      <c r="V27" s="5">
        <f t="shared" ref="V27" si="115">V28</f>
        <v>0</v>
      </c>
      <c r="W27" s="5">
        <f t="shared" ref="W27" si="116">W28</f>
        <v>0</v>
      </c>
      <c r="X27" s="5">
        <f t="shared" ref="X27" si="117">X28</f>
        <v>0</v>
      </c>
      <c r="Y27" s="5">
        <f>Y28</f>
        <v>0</v>
      </c>
      <c r="Z27" s="5">
        <f>Z28</f>
        <v>0</v>
      </c>
      <c r="AA27" s="5">
        <f>AA28</f>
        <v>0</v>
      </c>
      <c r="AB27" s="5">
        <f t="shared" ref="AB27" si="118">AB28</f>
        <v>0</v>
      </c>
      <c r="AC27" s="5">
        <f t="shared" ref="AC27" si="119">AC28</f>
        <v>0</v>
      </c>
      <c r="AD27" s="5">
        <f t="shared" ref="AD27" si="120">AD28</f>
        <v>0</v>
      </c>
      <c r="AE27" s="5">
        <f t="shared" ref="AE27" si="121">AE28</f>
        <v>0</v>
      </c>
      <c r="AF27" s="5">
        <f>AF28</f>
        <v>0</v>
      </c>
      <c r="AG27" s="5">
        <f>AG28</f>
        <v>0</v>
      </c>
      <c r="AH27" s="106">
        <f>AH28</f>
        <v>0</v>
      </c>
      <c r="AI27" s="5">
        <f t="shared" ref="AI27" si="122">AI28</f>
        <v>0</v>
      </c>
      <c r="AJ27" s="5">
        <f t="shared" ref="AJ27" si="123">AJ28</f>
        <v>0</v>
      </c>
      <c r="AK27" s="5">
        <f t="shared" ref="AK27" si="124">AK28</f>
        <v>0</v>
      </c>
      <c r="AL27" s="5">
        <f t="shared" ref="AL27" si="125">AL28</f>
        <v>0</v>
      </c>
      <c r="AM27" s="5">
        <f>AM28</f>
        <v>0</v>
      </c>
      <c r="AN27" s="120">
        <f t="shared" si="35"/>
        <v>0</v>
      </c>
      <c r="AO27" s="120">
        <f t="shared" si="36"/>
        <v>0</v>
      </c>
      <c r="AP27" s="120">
        <f t="shared" si="14"/>
        <v>0</v>
      </c>
      <c r="AQ27" s="120">
        <f t="shared" si="15"/>
        <v>0</v>
      </c>
      <c r="AR27" s="120">
        <f t="shared" si="16"/>
        <v>0</v>
      </c>
      <c r="AS27" s="120">
        <f t="shared" si="17"/>
        <v>0</v>
      </c>
      <c r="AT27" s="120">
        <f t="shared" si="37"/>
        <v>0</v>
      </c>
      <c r="AU27" s="5">
        <f>AU28</f>
        <v>0</v>
      </c>
      <c r="AV27" s="5">
        <f>AV28</f>
        <v>0</v>
      </c>
      <c r="AW27" s="5">
        <f t="shared" ref="AW27" si="126">AW28</f>
        <v>0</v>
      </c>
      <c r="AX27" s="5">
        <f t="shared" ref="AX27" si="127">AX28</f>
        <v>0</v>
      </c>
      <c r="AY27" s="5">
        <f t="shared" ref="AY27" si="128">AY28</f>
        <v>0</v>
      </c>
      <c r="AZ27" s="5">
        <f t="shared" ref="AZ27" si="129">AZ28</f>
        <v>0</v>
      </c>
      <c r="BA27" s="5">
        <f>BA28</f>
        <v>0</v>
      </c>
      <c r="BB27" s="5">
        <f>BB28</f>
        <v>0</v>
      </c>
      <c r="BC27" s="5">
        <f>BC28</f>
        <v>0</v>
      </c>
      <c r="BD27" s="5">
        <f t="shared" ref="BD27" si="130">BD28</f>
        <v>0</v>
      </c>
      <c r="BE27" s="5">
        <f t="shared" ref="BE27" si="131">BE28</f>
        <v>0</v>
      </c>
      <c r="BF27" s="5">
        <f t="shared" ref="BF27" si="132">BF28</f>
        <v>0</v>
      </c>
      <c r="BG27" s="5">
        <f t="shared" ref="BG27" si="133">BG28</f>
        <v>0</v>
      </c>
      <c r="BH27" s="5">
        <f>BH28</f>
        <v>0</v>
      </c>
      <c r="BI27" s="5">
        <f>BI28</f>
        <v>0</v>
      </c>
      <c r="BJ27" s="5">
        <f>BJ28</f>
        <v>0</v>
      </c>
      <c r="BK27" s="5">
        <f t="shared" ref="BK27" si="134">BK28</f>
        <v>0</v>
      </c>
      <c r="BL27" s="5">
        <f t="shared" ref="BL27" si="135">BL28</f>
        <v>0</v>
      </c>
      <c r="BM27" s="5">
        <f t="shared" ref="BM27" si="136">BM28</f>
        <v>0</v>
      </c>
      <c r="BN27" s="5">
        <f t="shared" ref="BN27" si="137">BN28</f>
        <v>0</v>
      </c>
      <c r="BO27" s="5">
        <f>BO28</f>
        <v>0</v>
      </c>
      <c r="BP27" s="5">
        <f>BP28</f>
        <v>0</v>
      </c>
      <c r="BQ27" s="5">
        <f>BQ28</f>
        <v>0</v>
      </c>
      <c r="BR27" s="5">
        <f t="shared" ref="BR27" si="138">BR28</f>
        <v>0</v>
      </c>
      <c r="BS27" s="5">
        <f t="shared" ref="BS27" si="139">BS28</f>
        <v>0</v>
      </c>
      <c r="BT27" s="5">
        <f t="shared" ref="BT27" si="140">BT28</f>
        <v>0</v>
      </c>
      <c r="BU27" s="5">
        <f t="shared" ref="BU27" si="141">BU28</f>
        <v>0</v>
      </c>
      <c r="BV27" s="5">
        <f>BV28</f>
        <v>0</v>
      </c>
      <c r="BW27" s="5">
        <f>BW28</f>
        <v>0</v>
      </c>
      <c r="BX27" s="111"/>
      <c r="BY27" s="120">
        <f t="shared" si="38"/>
        <v>0</v>
      </c>
      <c r="BZ27" s="111"/>
      <c r="CA27" s="111"/>
    </row>
    <row r="28" spans="1:79" ht="30">
      <c r="A28" s="87" t="s">
        <v>404</v>
      </c>
      <c r="B28" s="86" t="s">
        <v>405</v>
      </c>
      <c r="C28" s="101" t="s">
        <v>385</v>
      </c>
      <c r="D28" s="5">
        <v>0</v>
      </c>
      <c r="E28" s="120">
        <f t="shared" si="0"/>
        <v>0</v>
      </c>
      <c r="F28" s="277">
        <f t="shared" si="34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f t="shared" si="0"/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106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120">
        <f t="shared" si="35"/>
        <v>0</v>
      </c>
      <c r="AO28" s="120">
        <f t="shared" si="36"/>
        <v>0</v>
      </c>
      <c r="AP28" s="120">
        <f t="shared" si="14"/>
        <v>0</v>
      </c>
      <c r="AQ28" s="120">
        <f t="shared" si="15"/>
        <v>0</v>
      </c>
      <c r="AR28" s="120">
        <f t="shared" si="16"/>
        <v>0</v>
      </c>
      <c r="AS28" s="120">
        <f t="shared" si="17"/>
        <v>0</v>
      </c>
      <c r="AT28" s="120">
        <f t="shared" si="37"/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111"/>
      <c r="BY28" s="120">
        <f t="shared" si="38"/>
        <v>0</v>
      </c>
      <c r="BZ28" s="111"/>
      <c r="CA28" s="111"/>
    </row>
    <row r="29" spans="1:79" ht="45">
      <c r="A29" s="89" t="s">
        <v>406</v>
      </c>
      <c r="B29" s="86" t="s">
        <v>407</v>
      </c>
      <c r="C29" s="101" t="s">
        <v>385</v>
      </c>
      <c r="D29" s="106">
        <f>D30+D34</f>
        <v>6.4032999999999998</v>
      </c>
      <c r="E29" s="120">
        <f t="shared" si="0"/>
        <v>0</v>
      </c>
      <c r="F29" s="277">
        <f t="shared" si="34"/>
        <v>6.4032999999999998</v>
      </c>
      <c r="G29" s="120">
        <f t="shared" si="0"/>
        <v>0</v>
      </c>
      <c r="H29" s="120">
        <f t="shared" si="0"/>
        <v>0</v>
      </c>
      <c r="I29" s="277">
        <f t="shared" si="0"/>
        <v>9.1050000000000004</v>
      </c>
      <c r="J29" s="120">
        <f t="shared" si="0"/>
        <v>0</v>
      </c>
      <c r="K29" s="120">
        <f t="shared" si="0"/>
        <v>0</v>
      </c>
      <c r="L29" s="5">
        <f>L30+L34</f>
        <v>0</v>
      </c>
      <c r="M29" s="5">
        <f>M30+M34</f>
        <v>0</v>
      </c>
      <c r="N29" s="5">
        <f t="shared" ref="N29:Q29" si="142">N30+N34</f>
        <v>0</v>
      </c>
      <c r="O29" s="5">
        <f t="shared" si="142"/>
        <v>0</v>
      </c>
      <c r="P29" s="5">
        <f t="shared" si="142"/>
        <v>0</v>
      </c>
      <c r="Q29" s="5">
        <f t="shared" si="142"/>
        <v>0</v>
      </c>
      <c r="R29" s="5">
        <f>R30+R34</f>
        <v>0</v>
      </c>
      <c r="S29" s="5">
        <f>S30+S34</f>
        <v>0</v>
      </c>
      <c r="T29" s="5">
        <f>T30+T34</f>
        <v>0</v>
      </c>
      <c r="U29" s="5">
        <f t="shared" ref="U29" si="143">U30+U34</f>
        <v>0</v>
      </c>
      <c r="V29" s="5">
        <f t="shared" ref="V29" si="144">V30+V34</f>
        <v>0</v>
      </c>
      <c r="W29" s="5">
        <f t="shared" ref="W29" si="145">W30+W34</f>
        <v>0</v>
      </c>
      <c r="X29" s="5">
        <f t="shared" ref="X29" si="146">X30+X34</f>
        <v>0</v>
      </c>
      <c r="Y29" s="5">
        <f>Y30+Y34</f>
        <v>0</v>
      </c>
      <c r="Z29" s="5">
        <f>Z30+Z34</f>
        <v>0</v>
      </c>
      <c r="AA29" s="5">
        <f>AA30+AA34</f>
        <v>0</v>
      </c>
      <c r="AB29" s="5">
        <f t="shared" ref="AB29" si="147">AB30+AB34</f>
        <v>0</v>
      </c>
      <c r="AC29" s="5">
        <f t="shared" ref="AC29" si="148">AC30+AC34</f>
        <v>0</v>
      </c>
      <c r="AD29" s="5">
        <f t="shared" ref="AD29" si="149">AD30+AD34</f>
        <v>0</v>
      </c>
      <c r="AE29" s="5">
        <f t="shared" ref="AE29" si="150">AE30+AE34</f>
        <v>0</v>
      </c>
      <c r="AF29" s="5">
        <f>AF30+AF34</f>
        <v>0</v>
      </c>
      <c r="AG29" s="5">
        <f>AG30+AG34</f>
        <v>0</v>
      </c>
      <c r="AH29" s="106">
        <f>AH30+AH34</f>
        <v>6.4032999999999998</v>
      </c>
      <c r="AI29" s="5">
        <f t="shared" ref="AI29" si="151">AI30+AI34</f>
        <v>0</v>
      </c>
      <c r="AJ29" s="5">
        <f t="shared" ref="AJ29" si="152">AJ30+AJ34</f>
        <v>0</v>
      </c>
      <c r="AK29" s="106">
        <f t="shared" ref="AK29" si="153">AK30+AK34</f>
        <v>9.1050000000000004</v>
      </c>
      <c r="AL29" s="5">
        <f t="shared" ref="AL29" si="154">AL30+AL34</f>
        <v>0</v>
      </c>
      <c r="AM29" s="5">
        <f>AM30+AM34</f>
        <v>0</v>
      </c>
      <c r="AN29" s="120">
        <f t="shared" si="35"/>
        <v>0</v>
      </c>
      <c r="AO29" s="120">
        <f t="shared" si="36"/>
        <v>0</v>
      </c>
      <c r="AP29" s="120">
        <f t="shared" si="14"/>
        <v>0</v>
      </c>
      <c r="AQ29" s="120">
        <f t="shared" si="15"/>
        <v>0</v>
      </c>
      <c r="AR29" s="120">
        <f t="shared" si="16"/>
        <v>0</v>
      </c>
      <c r="AS29" s="120">
        <f t="shared" si="17"/>
        <v>0</v>
      </c>
      <c r="AT29" s="120">
        <f t="shared" si="37"/>
        <v>0</v>
      </c>
      <c r="AU29" s="5">
        <f>AU30+AU34</f>
        <v>0</v>
      </c>
      <c r="AV29" s="5">
        <f>AV30+AV34</f>
        <v>0</v>
      </c>
      <c r="AW29" s="5">
        <f t="shared" ref="AW29" si="155">AW30+AW34</f>
        <v>0</v>
      </c>
      <c r="AX29" s="5">
        <f t="shared" ref="AX29" si="156">AX30+AX34</f>
        <v>0</v>
      </c>
      <c r="AY29" s="5">
        <f t="shared" ref="AY29" si="157">AY30+AY34</f>
        <v>0</v>
      </c>
      <c r="AZ29" s="5">
        <f t="shared" ref="AZ29" si="158">AZ30+AZ34</f>
        <v>0</v>
      </c>
      <c r="BA29" s="5">
        <f>BA30+BA34</f>
        <v>0</v>
      </c>
      <c r="BB29" s="5">
        <f>BB30+BB34</f>
        <v>0</v>
      </c>
      <c r="BC29" s="5">
        <f>BC30+BC34</f>
        <v>0</v>
      </c>
      <c r="BD29" s="5">
        <f t="shared" ref="BD29" si="159">BD30+BD34</f>
        <v>0</v>
      </c>
      <c r="BE29" s="5">
        <f t="shared" ref="BE29" si="160">BE30+BE34</f>
        <v>0</v>
      </c>
      <c r="BF29" s="5">
        <f t="shared" ref="BF29" si="161">BF30+BF34</f>
        <v>0</v>
      </c>
      <c r="BG29" s="5">
        <f t="shared" ref="BG29" si="162">BG30+BG34</f>
        <v>0</v>
      </c>
      <c r="BH29" s="5">
        <f>BH30+BH34</f>
        <v>0</v>
      </c>
      <c r="BI29" s="5">
        <f>BI30+BI34</f>
        <v>0</v>
      </c>
      <c r="BJ29" s="5">
        <f>BJ30+BJ34</f>
        <v>0</v>
      </c>
      <c r="BK29" s="5">
        <f t="shared" ref="BK29" si="163">BK30+BK34</f>
        <v>0</v>
      </c>
      <c r="BL29" s="5">
        <f t="shared" ref="BL29" si="164">BL30+BL34</f>
        <v>0</v>
      </c>
      <c r="BM29" s="5">
        <f t="shared" ref="BM29" si="165">BM30+BM34</f>
        <v>0</v>
      </c>
      <c r="BN29" s="5">
        <f t="shared" ref="BN29" si="166">BN30+BN34</f>
        <v>0</v>
      </c>
      <c r="BO29" s="5">
        <f>BO30+BO34</f>
        <v>0</v>
      </c>
      <c r="BP29" s="5">
        <f>BP30+BP34</f>
        <v>0</v>
      </c>
      <c r="BQ29" s="5">
        <f>BQ30+BQ34</f>
        <v>0</v>
      </c>
      <c r="BR29" s="5">
        <f t="shared" ref="BR29" si="167">BR30+BR34</f>
        <v>0</v>
      </c>
      <c r="BS29" s="5">
        <f t="shared" ref="BS29" si="168">BS30+BS34</f>
        <v>0</v>
      </c>
      <c r="BT29" s="5">
        <f t="shared" ref="BT29" si="169">BT30+BT34</f>
        <v>0</v>
      </c>
      <c r="BU29" s="5">
        <f t="shared" ref="BU29" si="170">BU30+BU34</f>
        <v>0</v>
      </c>
      <c r="BV29" s="5">
        <f>BV30+BV34</f>
        <v>0</v>
      </c>
      <c r="BW29" s="5">
        <f>BW30+BW34</f>
        <v>0</v>
      </c>
      <c r="BX29" s="111"/>
      <c r="BY29" s="120">
        <f t="shared" si="38"/>
        <v>0</v>
      </c>
      <c r="BZ29" s="111"/>
      <c r="CA29" s="111"/>
    </row>
    <row r="30" spans="1:79" ht="30">
      <c r="A30" s="87" t="s">
        <v>408</v>
      </c>
      <c r="B30" s="86" t="s">
        <v>409</v>
      </c>
      <c r="C30" s="101" t="s">
        <v>385</v>
      </c>
      <c r="D30" s="106">
        <f>D32+D33+D31</f>
        <v>5.9211</v>
      </c>
      <c r="E30" s="120">
        <f t="shared" si="0"/>
        <v>0</v>
      </c>
      <c r="F30" s="277">
        <f t="shared" si="34"/>
        <v>5.9211</v>
      </c>
      <c r="G30" s="120">
        <f t="shared" si="0"/>
        <v>0</v>
      </c>
      <c r="H30" s="120">
        <f t="shared" si="0"/>
        <v>0</v>
      </c>
      <c r="I30" s="277">
        <f t="shared" si="0"/>
        <v>7.6050000000000004</v>
      </c>
      <c r="J30" s="120">
        <f t="shared" si="0"/>
        <v>0</v>
      </c>
      <c r="K30" s="120">
        <f t="shared" si="0"/>
        <v>0</v>
      </c>
      <c r="L30" s="106">
        <f t="shared" ref="L30:AM30" si="171">L32+L33+L31</f>
        <v>0</v>
      </c>
      <c r="M30" s="106">
        <f t="shared" si="171"/>
        <v>0</v>
      </c>
      <c r="N30" s="106">
        <f t="shared" si="171"/>
        <v>0</v>
      </c>
      <c r="O30" s="106">
        <f t="shared" si="171"/>
        <v>0</v>
      </c>
      <c r="P30" s="106">
        <f t="shared" si="171"/>
        <v>0</v>
      </c>
      <c r="Q30" s="106">
        <f t="shared" si="171"/>
        <v>0</v>
      </c>
      <c r="R30" s="106">
        <f t="shared" si="171"/>
        <v>0</v>
      </c>
      <c r="S30" s="106">
        <f t="shared" si="171"/>
        <v>0</v>
      </c>
      <c r="T30" s="106">
        <f t="shared" si="171"/>
        <v>0</v>
      </c>
      <c r="U30" s="106">
        <f t="shared" si="171"/>
        <v>0</v>
      </c>
      <c r="V30" s="106">
        <f t="shared" si="171"/>
        <v>0</v>
      </c>
      <c r="W30" s="106">
        <f t="shared" si="171"/>
        <v>0</v>
      </c>
      <c r="X30" s="106">
        <f t="shared" si="171"/>
        <v>0</v>
      </c>
      <c r="Y30" s="106">
        <f t="shared" si="171"/>
        <v>0</v>
      </c>
      <c r="Z30" s="106">
        <f t="shared" si="171"/>
        <v>0</v>
      </c>
      <c r="AA30" s="106">
        <f t="shared" si="171"/>
        <v>0</v>
      </c>
      <c r="AB30" s="106">
        <f t="shared" si="171"/>
        <v>0</v>
      </c>
      <c r="AC30" s="106">
        <f t="shared" si="171"/>
        <v>0</v>
      </c>
      <c r="AD30" s="106">
        <f t="shared" si="171"/>
        <v>0</v>
      </c>
      <c r="AE30" s="106">
        <f t="shared" si="171"/>
        <v>0</v>
      </c>
      <c r="AF30" s="106">
        <f t="shared" si="171"/>
        <v>0</v>
      </c>
      <c r="AG30" s="106">
        <f t="shared" si="171"/>
        <v>0</v>
      </c>
      <c r="AH30" s="106">
        <f t="shared" si="171"/>
        <v>5.9211</v>
      </c>
      <c r="AI30" s="106">
        <f t="shared" si="171"/>
        <v>0</v>
      </c>
      <c r="AJ30" s="106">
        <f t="shared" si="171"/>
        <v>0</v>
      </c>
      <c r="AK30" s="106">
        <f t="shared" si="171"/>
        <v>7.6050000000000004</v>
      </c>
      <c r="AL30" s="106">
        <f t="shared" si="171"/>
        <v>0</v>
      </c>
      <c r="AM30" s="106">
        <f t="shared" si="171"/>
        <v>0</v>
      </c>
      <c r="AN30" s="120">
        <f t="shared" si="35"/>
        <v>0</v>
      </c>
      <c r="AO30" s="120">
        <f t="shared" si="36"/>
        <v>0</v>
      </c>
      <c r="AP30" s="120">
        <f t="shared" si="14"/>
        <v>0</v>
      </c>
      <c r="AQ30" s="120">
        <f t="shared" si="15"/>
        <v>0</v>
      </c>
      <c r="AR30" s="120">
        <f t="shared" si="16"/>
        <v>0</v>
      </c>
      <c r="AS30" s="120">
        <f t="shared" si="17"/>
        <v>0</v>
      </c>
      <c r="AT30" s="120">
        <f t="shared" si="37"/>
        <v>0</v>
      </c>
      <c r="AU30" s="106">
        <f t="shared" ref="AU30:BW30" si="172">AU32+AU33+AU31</f>
        <v>0</v>
      </c>
      <c r="AV30" s="106">
        <f t="shared" si="172"/>
        <v>0</v>
      </c>
      <c r="AW30" s="106">
        <f t="shared" si="172"/>
        <v>0</v>
      </c>
      <c r="AX30" s="106">
        <f t="shared" si="172"/>
        <v>0</v>
      </c>
      <c r="AY30" s="106">
        <f t="shared" si="172"/>
        <v>0</v>
      </c>
      <c r="AZ30" s="106">
        <f t="shared" si="172"/>
        <v>0</v>
      </c>
      <c r="BA30" s="106">
        <f t="shared" si="172"/>
        <v>0</v>
      </c>
      <c r="BB30" s="106">
        <f t="shared" si="172"/>
        <v>0</v>
      </c>
      <c r="BC30" s="106">
        <f t="shared" si="172"/>
        <v>0</v>
      </c>
      <c r="BD30" s="106">
        <f t="shared" si="172"/>
        <v>0</v>
      </c>
      <c r="BE30" s="106">
        <f t="shared" si="172"/>
        <v>0</v>
      </c>
      <c r="BF30" s="106">
        <f t="shared" si="172"/>
        <v>0</v>
      </c>
      <c r="BG30" s="106">
        <f t="shared" si="172"/>
        <v>0</v>
      </c>
      <c r="BH30" s="106">
        <f t="shared" si="172"/>
        <v>0</v>
      </c>
      <c r="BI30" s="106">
        <f t="shared" si="172"/>
        <v>0</v>
      </c>
      <c r="BJ30" s="106">
        <f t="shared" si="172"/>
        <v>0</v>
      </c>
      <c r="BK30" s="106">
        <f t="shared" si="172"/>
        <v>0</v>
      </c>
      <c r="BL30" s="106">
        <f t="shared" si="172"/>
        <v>0</v>
      </c>
      <c r="BM30" s="106">
        <f t="shared" si="172"/>
        <v>0</v>
      </c>
      <c r="BN30" s="106">
        <f t="shared" si="172"/>
        <v>0</v>
      </c>
      <c r="BO30" s="106">
        <f t="shared" si="172"/>
        <v>0</v>
      </c>
      <c r="BP30" s="106">
        <f t="shared" si="172"/>
        <v>0</v>
      </c>
      <c r="BQ30" s="106">
        <f t="shared" si="172"/>
        <v>0</v>
      </c>
      <c r="BR30" s="106">
        <f t="shared" si="172"/>
        <v>0</v>
      </c>
      <c r="BS30" s="106">
        <f t="shared" si="172"/>
        <v>0</v>
      </c>
      <c r="BT30" s="106">
        <f t="shared" si="172"/>
        <v>0</v>
      </c>
      <c r="BU30" s="106">
        <f t="shared" si="172"/>
        <v>0</v>
      </c>
      <c r="BV30" s="106">
        <f t="shared" si="172"/>
        <v>0</v>
      </c>
      <c r="BW30" s="106">
        <f t="shared" si="172"/>
        <v>0</v>
      </c>
      <c r="BX30" s="111"/>
      <c r="BY30" s="120">
        <f t="shared" si="38"/>
        <v>0</v>
      </c>
      <c r="BZ30" s="111"/>
      <c r="CA30" s="111"/>
    </row>
    <row r="31" spans="1:79" ht="45">
      <c r="A31" s="91" t="s">
        <v>410</v>
      </c>
      <c r="B31" s="92" t="s">
        <v>411</v>
      </c>
      <c r="C31" s="102" t="s">
        <v>412</v>
      </c>
      <c r="D31" s="106">
        <f>'12'!D29</f>
        <v>0.84809999999999997</v>
      </c>
      <c r="E31" s="120">
        <f t="shared" si="0"/>
        <v>0</v>
      </c>
      <c r="F31" s="277">
        <f t="shared" si="34"/>
        <v>0.84809999999999997</v>
      </c>
      <c r="G31" s="120">
        <f t="shared" si="0"/>
        <v>0</v>
      </c>
      <c r="H31" s="120">
        <f t="shared" si="0"/>
        <v>0</v>
      </c>
      <c r="I31" s="120">
        <f t="shared" si="0"/>
        <v>1</v>
      </c>
      <c r="J31" s="120">
        <f t="shared" si="0"/>
        <v>0</v>
      </c>
      <c r="K31" s="120">
        <f t="shared" si="0"/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106">
        <v>0.84809999999999997</v>
      </c>
      <c r="AI31" s="5">
        <v>0</v>
      </c>
      <c r="AJ31" s="5">
        <v>0</v>
      </c>
      <c r="AK31" s="345">
        <v>1</v>
      </c>
      <c r="AL31" s="124">
        <v>0</v>
      </c>
      <c r="AM31" s="124">
        <v>0</v>
      </c>
      <c r="AN31" s="120">
        <f t="shared" si="35"/>
        <v>0</v>
      </c>
      <c r="AO31" s="120">
        <f t="shared" si="36"/>
        <v>0</v>
      </c>
      <c r="AP31" s="120">
        <f t="shared" si="14"/>
        <v>0</v>
      </c>
      <c r="AQ31" s="120">
        <f t="shared" si="15"/>
        <v>0</v>
      </c>
      <c r="AR31" s="120">
        <f t="shared" si="16"/>
        <v>0</v>
      </c>
      <c r="AS31" s="120">
        <f t="shared" si="17"/>
        <v>0</v>
      </c>
      <c r="AT31" s="120">
        <f t="shared" si="37"/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111"/>
      <c r="BY31" s="120">
        <f t="shared" si="38"/>
        <v>0</v>
      </c>
      <c r="BZ31" s="111"/>
      <c r="CA31" s="111"/>
    </row>
    <row r="32" spans="1:79" s="127" customFormat="1" ht="77.25" customHeight="1">
      <c r="A32" s="121" t="s">
        <v>442</v>
      </c>
      <c r="B32" s="122" t="s">
        <v>414</v>
      </c>
      <c r="C32" s="123" t="s">
        <v>308</v>
      </c>
      <c r="D32" s="124">
        <v>0</v>
      </c>
      <c r="E32" s="125">
        <f t="shared" si="0"/>
        <v>0</v>
      </c>
      <c r="F32" s="278">
        <f t="shared" si="34"/>
        <v>0</v>
      </c>
      <c r="G32" s="125">
        <f t="shared" si="0"/>
        <v>0</v>
      </c>
      <c r="H32" s="125">
        <f t="shared" si="0"/>
        <v>0</v>
      </c>
      <c r="I32" s="278">
        <f t="shared" si="0"/>
        <v>0</v>
      </c>
      <c r="J32" s="125">
        <f t="shared" si="0"/>
        <v>0</v>
      </c>
      <c r="K32" s="125">
        <f t="shared" si="0"/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279">
        <v>0</v>
      </c>
      <c r="AI32" s="5">
        <v>0</v>
      </c>
      <c r="AJ32" s="5">
        <v>0</v>
      </c>
      <c r="AK32" s="279"/>
      <c r="AL32" s="124">
        <v>0</v>
      </c>
      <c r="AM32" s="124">
        <v>0</v>
      </c>
      <c r="AN32" s="125">
        <f t="shared" si="35"/>
        <v>0</v>
      </c>
      <c r="AO32" s="125">
        <f t="shared" si="36"/>
        <v>0</v>
      </c>
      <c r="AP32" s="125">
        <f t="shared" si="14"/>
        <v>0</v>
      </c>
      <c r="AQ32" s="125">
        <f t="shared" si="15"/>
        <v>0</v>
      </c>
      <c r="AR32" s="125">
        <f t="shared" si="16"/>
        <v>0</v>
      </c>
      <c r="AS32" s="125">
        <f t="shared" si="17"/>
        <v>0</v>
      </c>
      <c r="AT32" s="125">
        <f t="shared" si="37"/>
        <v>0</v>
      </c>
      <c r="AU32" s="124"/>
      <c r="AV32" s="124">
        <v>0</v>
      </c>
      <c r="AW32" s="124">
        <v>0</v>
      </c>
      <c r="AX32" s="124">
        <v>0</v>
      </c>
      <c r="AY32" s="124">
        <v>0</v>
      </c>
      <c r="AZ32" s="124"/>
      <c r="BA32" s="124">
        <v>0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124">
        <v>0</v>
      </c>
      <c r="BH32" s="124">
        <v>0</v>
      </c>
      <c r="BI32" s="124">
        <v>0</v>
      </c>
      <c r="BJ32" s="124">
        <v>0</v>
      </c>
      <c r="BK32" s="124"/>
      <c r="BL32" s="124"/>
      <c r="BM32" s="124">
        <v>0</v>
      </c>
      <c r="BN32" s="124">
        <v>0</v>
      </c>
      <c r="BO32" s="124">
        <v>0</v>
      </c>
      <c r="BP32" s="124">
        <v>0</v>
      </c>
      <c r="BQ32" s="124"/>
      <c r="BR32" s="124"/>
      <c r="BS32" s="124"/>
      <c r="BT32" s="124"/>
      <c r="BU32" s="124"/>
      <c r="BV32" s="124"/>
      <c r="BW32" s="124">
        <v>0</v>
      </c>
      <c r="BX32" s="126"/>
      <c r="BY32" s="125">
        <f t="shared" si="38"/>
        <v>0</v>
      </c>
      <c r="BZ32" s="126"/>
      <c r="CA32" s="126"/>
    </row>
    <row r="33" spans="1:79" ht="60">
      <c r="A33" s="91" t="s">
        <v>443</v>
      </c>
      <c r="B33" s="92" t="s">
        <v>416</v>
      </c>
      <c r="C33" s="102" t="s">
        <v>417</v>
      </c>
      <c r="D33" s="5">
        <f>'12'!D31</f>
        <v>5.0730000000000004</v>
      </c>
      <c r="E33" s="120">
        <f t="shared" si="0"/>
        <v>0</v>
      </c>
      <c r="F33" s="277">
        <f t="shared" si="34"/>
        <v>5.0730000000000004</v>
      </c>
      <c r="G33" s="120">
        <f t="shared" si="0"/>
        <v>0</v>
      </c>
      <c r="H33" s="120">
        <f t="shared" si="0"/>
        <v>0</v>
      </c>
      <c r="I33" s="120">
        <f t="shared" si="0"/>
        <v>6.6050000000000004</v>
      </c>
      <c r="J33" s="120">
        <f t="shared" si="0"/>
        <v>0</v>
      </c>
      <c r="K33" s="120">
        <f t="shared" si="0"/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106">
        <v>5.0730000000000004</v>
      </c>
      <c r="AI33" s="5">
        <v>0</v>
      </c>
      <c r="AJ33" s="5">
        <v>0</v>
      </c>
      <c r="AK33" s="124">
        <v>6.6050000000000004</v>
      </c>
      <c r="AL33" s="124">
        <v>0</v>
      </c>
      <c r="AM33" s="124">
        <v>0</v>
      </c>
      <c r="AN33" s="120">
        <f t="shared" si="35"/>
        <v>0</v>
      </c>
      <c r="AO33" s="120">
        <f t="shared" si="36"/>
        <v>0</v>
      </c>
      <c r="AP33" s="120">
        <f t="shared" si="14"/>
        <v>0</v>
      </c>
      <c r="AQ33" s="120">
        <f t="shared" si="15"/>
        <v>0</v>
      </c>
      <c r="AR33" s="120">
        <f t="shared" si="16"/>
        <v>0</v>
      </c>
      <c r="AS33" s="120">
        <f t="shared" si="17"/>
        <v>0</v>
      </c>
      <c r="AT33" s="120">
        <f t="shared" si="37"/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111"/>
      <c r="BY33" s="120">
        <f t="shared" si="38"/>
        <v>0</v>
      </c>
      <c r="BZ33" s="111"/>
      <c r="CA33" s="111"/>
    </row>
    <row r="34" spans="1:79" ht="39" customHeight="1">
      <c r="A34" s="114" t="s">
        <v>418</v>
      </c>
      <c r="B34" s="105" t="s">
        <v>419</v>
      </c>
      <c r="C34" s="103" t="s">
        <v>385</v>
      </c>
      <c r="D34" s="106">
        <f>D35</f>
        <v>0.48220000000000002</v>
      </c>
      <c r="E34" s="120">
        <f t="shared" ref="E34:E44" si="173">L34+S34+Z34+AG34</f>
        <v>0</v>
      </c>
      <c r="F34" s="277">
        <f t="shared" si="34"/>
        <v>0.48220000000000002</v>
      </c>
      <c r="G34" s="120">
        <f t="shared" ref="G34:G44" si="174">N34+U34+AB34+AI34</f>
        <v>0</v>
      </c>
      <c r="H34" s="120">
        <f t="shared" ref="H34:H44" si="175">O34+V34+AC34+AJ34</f>
        <v>0</v>
      </c>
      <c r="I34" s="120">
        <f t="shared" ref="I34:I44" si="176">P34+W34+AD34+AK34</f>
        <v>1.5</v>
      </c>
      <c r="J34" s="120">
        <f t="shared" ref="J34:K44" si="177">Q34+X34+AE34+AL34</f>
        <v>0</v>
      </c>
      <c r="K34" s="120">
        <f t="shared" si="177"/>
        <v>0</v>
      </c>
      <c r="L34" s="5">
        <f>L35</f>
        <v>0</v>
      </c>
      <c r="M34" s="5">
        <f>M35</f>
        <v>0</v>
      </c>
      <c r="N34" s="5">
        <f t="shared" ref="N34:Q34" si="178">N35</f>
        <v>0</v>
      </c>
      <c r="O34" s="5">
        <f t="shared" si="178"/>
        <v>0</v>
      </c>
      <c r="P34" s="5">
        <f t="shared" si="178"/>
        <v>0</v>
      </c>
      <c r="Q34" s="5">
        <f t="shared" si="178"/>
        <v>0</v>
      </c>
      <c r="R34" s="5">
        <f>R35</f>
        <v>0</v>
      </c>
      <c r="S34" s="5">
        <f>S35</f>
        <v>0</v>
      </c>
      <c r="T34" s="5">
        <f>T35</f>
        <v>0</v>
      </c>
      <c r="U34" s="5">
        <f t="shared" ref="U34" si="179">U35</f>
        <v>0</v>
      </c>
      <c r="V34" s="5">
        <f t="shared" ref="V34" si="180">V35</f>
        <v>0</v>
      </c>
      <c r="W34" s="5">
        <f t="shared" ref="W34" si="181">W35</f>
        <v>0</v>
      </c>
      <c r="X34" s="5">
        <f t="shared" ref="X34" si="182">X35</f>
        <v>0</v>
      </c>
      <c r="Y34" s="5">
        <f>Y35</f>
        <v>0</v>
      </c>
      <c r="Z34" s="5">
        <f>Z35</f>
        <v>0</v>
      </c>
      <c r="AA34" s="5">
        <f>AA35</f>
        <v>0</v>
      </c>
      <c r="AB34" s="5">
        <f t="shared" ref="AB34" si="183">AB35</f>
        <v>0</v>
      </c>
      <c r="AC34" s="5">
        <f t="shared" ref="AC34" si="184">AC35</f>
        <v>0</v>
      </c>
      <c r="AD34" s="5">
        <f t="shared" ref="AD34" si="185">AD35</f>
        <v>0</v>
      </c>
      <c r="AE34" s="5">
        <f t="shared" ref="AE34" si="186">AE35</f>
        <v>0</v>
      </c>
      <c r="AF34" s="5">
        <f>AF35</f>
        <v>0</v>
      </c>
      <c r="AG34" s="5">
        <f>AG35</f>
        <v>0</v>
      </c>
      <c r="AH34" s="106">
        <f>AH35</f>
        <v>0.48220000000000002</v>
      </c>
      <c r="AI34" s="5">
        <f t="shared" ref="AI34" si="187">AI35</f>
        <v>0</v>
      </c>
      <c r="AJ34" s="5">
        <f t="shared" ref="AJ34" si="188">AJ35</f>
        <v>0</v>
      </c>
      <c r="AK34" s="345">
        <f t="shared" ref="AK34" si="189">AK35</f>
        <v>1.5</v>
      </c>
      <c r="AL34" s="124">
        <f t="shared" ref="AL34" si="190">AL35</f>
        <v>0</v>
      </c>
      <c r="AM34" s="124">
        <f>AM35</f>
        <v>0</v>
      </c>
      <c r="AN34" s="120">
        <f t="shared" si="35"/>
        <v>0</v>
      </c>
      <c r="AO34" s="120">
        <f t="shared" si="36"/>
        <v>0</v>
      </c>
      <c r="AP34" s="120">
        <f t="shared" si="14"/>
        <v>0</v>
      </c>
      <c r="AQ34" s="120">
        <f t="shared" si="15"/>
        <v>0</v>
      </c>
      <c r="AR34" s="120">
        <f t="shared" si="16"/>
        <v>0</v>
      </c>
      <c r="AS34" s="120">
        <f t="shared" si="17"/>
        <v>0</v>
      </c>
      <c r="AT34" s="120">
        <f t="shared" si="37"/>
        <v>0</v>
      </c>
      <c r="AU34" s="5">
        <f>AU35</f>
        <v>0</v>
      </c>
      <c r="AV34" s="5">
        <f>AV35</f>
        <v>0</v>
      </c>
      <c r="AW34" s="5">
        <f t="shared" ref="AW34" si="191">AW35</f>
        <v>0</v>
      </c>
      <c r="AX34" s="5">
        <f t="shared" ref="AX34" si="192">AX35</f>
        <v>0</v>
      </c>
      <c r="AY34" s="5">
        <f t="shared" ref="AY34" si="193">AY35</f>
        <v>0</v>
      </c>
      <c r="AZ34" s="5">
        <f t="shared" ref="AZ34" si="194">AZ35</f>
        <v>0</v>
      </c>
      <c r="BA34" s="5">
        <f>BA35</f>
        <v>0</v>
      </c>
      <c r="BB34" s="5">
        <f>BB35</f>
        <v>0</v>
      </c>
      <c r="BC34" s="5">
        <f>BC35</f>
        <v>0</v>
      </c>
      <c r="BD34" s="5">
        <f t="shared" ref="BD34" si="195">BD35</f>
        <v>0</v>
      </c>
      <c r="BE34" s="5">
        <f t="shared" ref="BE34" si="196">BE35</f>
        <v>0</v>
      </c>
      <c r="BF34" s="5">
        <f t="shared" ref="BF34" si="197">BF35</f>
        <v>0</v>
      </c>
      <c r="BG34" s="5">
        <f t="shared" ref="BG34" si="198">BG35</f>
        <v>0</v>
      </c>
      <c r="BH34" s="5">
        <f>BH35</f>
        <v>0</v>
      </c>
      <c r="BI34" s="5">
        <f>BI35</f>
        <v>0</v>
      </c>
      <c r="BJ34" s="5">
        <f>BJ35</f>
        <v>0</v>
      </c>
      <c r="BK34" s="5">
        <f t="shared" ref="BK34" si="199">BK35</f>
        <v>0</v>
      </c>
      <c r="BL34" s="5">
        <f t="shared" ref="BL34" si="200">BL35</f>
        <v>0</v>
      </c>
      <c r="BM34" s="5">
        <f t="shared" ref="BM34" si="201">BM35</f>
        <v>0</v>
      </c>
      <c r="BN34" s="5">
        <f t="shared" ref="BN34" si="202">BN35</f>
        <v>0</v>
      </c>
      <c r="BO34" s="5">
        <f>BO35</f>
        <v>0</v>
      </c>
      <c r="BP34" s="5">
        <f>BP35</f>
        <v>0</v>
      </c>
      <c r="BQ34" s="5">
        <f>BQ35</f>
        <v>0</v>
      </c>
      <c r="BR34" s="5">
        <f t="shared" ref="BR34" si="203">BR35</f>
        <v>0</v>
      </c>
      <c r="BS34" s="5">
        <f t="shared" ref="BS34" si="204">BS35</f>
        <v>0</v>
      </c>
      <c r="BT34" s="5">
        <f t="shared" ref="BT34" si="205">BT35</f>
        <v>0</v>
      </c>
      <c r="BU34" s="5">
        <f t="shared" ref="BU34" si="206">BU35</f>
        <v>0</v>
      </c>
      <c r="BV34" s="5">
        <f>BV35</f>
        <v>0</v>
      </c>
      <c r="BW34" s="5">
        <v>0</v>
      </c>
      <c r="BX34" s="111"/>
      <c r="BY34" s="120">
        <f t="shared" si="38"/>
        <v>0</v>
      </c>
      <c r="BZ34" s="111"/>
      <c r="CA34" s="111"/>
    </row>
    <row r="35" spans="1:79" ht="63">
      <c r="A35" s="93" t="s">
        <v>420</v>
      </c>
      <c r="B35" s="94" t="s">
        <v>421</v>
      </c>
      <c r="C35" s="103" t="s">
        <v>422</v>
      </c>
      <c r="D35" s="106">
        <f>'12'!D33</f>
        <v>0.48220000000000002</v>
      </c>
      <c r="E35" s="120">
        <f t="shared" si="173"/>
        <v>0</v>
      </c>
      <c r="F35" s="277">
        <f t="shared" si="34"/>
        <v>0.48220000000000002</v>
      </c>
      <c r="G35" s="120">
        <f t="shared" si="174"/>
        <v>0</v>
      </c>
      <c r="H35" s="120">
        <f t="shared" si="175"/>
        <v>0</v>
      </c>
      <c r="I35" s="120">
        <f t="shared" si="176"/>
        <v>1.5</v>
      </c>
      <c r="J35" s="120">
        <f t="shared" si="177"/>
        <v>0</v>
      </c>
      <c r="K35" s="120">
        <f t="shared" si="177"/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106">
        <f>D35</f>
        <v>0.48220000000000002</v>
      </c>
      <c r="AI35" s="5">
        <v>0</v>
      </c>
      <c r="AJ35" s="5">
        <v>0</v>
      </c>
      <c r="AK35" s="345">
        <v>1.5</v>
      </c>
      <c r="AL35" s="124">
        <v>0</v>
      </c>
      <c r="AM35" s="124">
        <v>0</v>
      </c>
      <c r="AN35" s="120">
        <f t="shared" si="35"/>
        <v>0</v>
      </c>
      <c r="AO35" s="120">
        <f t="shared" si="36"/>
        <v>0</v>
      </c>
      <c r="AP35" s="120">
        <f t="shared" si="14"/>
        <v>0</v>
      </c>
      <c r="AQ35" s="120">
        <f t="shared" si="15"/>
        <v>0</v>
      </c>
      <c r="AR35" s="120">
        <f t="shared" si="16"/>
        <v>0</v>
      </c>
      <c r="AS35" s="120">
        <f t="shared" si="17"/>
        <v>0</v>
      </c>
      <c r="AT35" s="120">
        <f t="shared" si="37"/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111"/>
      <c r="BY35" s="120">
        <f t="shared" si="38"/>
        <v>0</v>
      </c>
      <c r="BZ35" s="111"/>
      <c r="CA35" s="111"/>
    </row>
    <row r="36" spans="1:79" ht="42.75">
      <c r="A36" s="89" t="s">
        <v>423</v>
      </c>
      <c r="B36" s="95" t="s">
        <v>424</v>
      </c>
      <c r="C36" s="104" t="s">
        <v>385</v>
      </c>
      <c r="D36" s="106">
        <f t="shared" ref="D36" si="207">D37</f>
        <v>1.7791999999999999</v>
      </c>
      <c r="E36" s="120">
        <f t="shared" si="173"/>
        <v>0</v>
      </c>
      <c r="F36" s="277">
        <f t="shared" si="34"/>
        <v>1.7791999999999999</v>
      </c>
      <c r="G36" s="120">
        <f t="shared" si="174"/>
        <v>0</v>
      </c>
      <c r="H36" s="120">
        <f t="shared" si="175"/>
        <v>0</v>
      </c>
      <c r="I36" s="120">
        <f t="shared" si="176"/>
        <v>0</v>
      </c>
      <c r="J36" s="120">
        <f t="shared" si="177"/>
        <v>0</v>
      </c>
      <c r="K36" s="120">
        <f t="shared" si="177"/>
        <v>227</v>
      </c>
      <c r="L36" s="5">
        <f t="shared" ref="L36:AA36" si="208">L37</f>
        <v>0</v>
      </c>
      <c r="M36" s="5">
        <f t="shared" si="208"/>
        <v>0</v>
      </c>
      <c r="N36" s="5">
        <f t="shared" si="208"/>
        <v>0</v>
      </c>
      <c r="O36" s="5">
        <f t="shared" si="208"/>
        <v>0</v>
      </c>
      <c r="P36" s="5">
        <f t="shared" si="208"/>
        <v>0</v>
      </c>
      <c r="Q36" s="5">
        <f t="shared" si="208"/>
        <v>0</v>
      </c>
      <c r="R36" s="5">
        <f t="shared" si="208"/>
        <v>0</v>
      </c>
      <c r="S36" s="5">
        <f t="shared" si="208"/>
        <v>0</v>
      </c>
      <c r="T36" s="5">
        <f t="shared" si="208"/>
        <v>0</v>
      </c>
      <c r="U36" s="5">
        <f t="shared" si="208"/>
        <v>0</v>
      </c>
      <c r="V36" s="5">
        <f t="shared" si="208"/>
        <v>0</v>
      </c>
      <c r="W36" s="5">
        <f t="shared" si="208"/>
        <v>0</v>
      </c>
      <c r="X36" s="5">
        <f t="shared" si="208"/>
        <v>0</v>
      </c>
      <c r="Y36" s="5">
        <f t="shared" si="208"/>
        <v>0</v>
      </c>
      <c r="Z36" s="5">
        <f t="shared" si="208"/>
        <v>0</v>
      </c>
      <c r="AA36" s="5">
        <f t="shared" si="208"/>
        <v>0</v>
      </c>
      <c r="AB36" s="5">
        <f t="shared" ref="AB36:AM36" si="209">AB37</f>
        <v>0</v>
      </c>
      <c r="AC36" s="5">
        <f t="shared" si="209"/>
        <v>0</v>
      </c>
      <c r="AD36" s="5">
        <f t="shared" si="209"/>
        <v>0</v>
      </c>
      <c r="AE36" s="5">
        <f t="shared" si="209"/>
        <v>0</v>
      </c>
      <c r="AF36" s="5">
        <f t="shared" si="209"/>
        <v>0</v>
      </c>
      <c r="AG36" s="5">
        <f t="shared" si="209"/>
        <v>0</v>
      </c>
      <c r="AH36" s="106">
        <f t="shared" si="209"/>
        <v>1.7791999999999999</v>
      </c>
      <c r="AI36" s="5">
        <f t="shared" si="209"/>
        <v>0</v>
      </c>
      <c r="AJ36" s="5">
        <f t="shared" si="209"/>
        <v>0</v>
      </c>
      <c r="AK36" s="124">
        <f t="shared" si="209"/>
        <v>0</v>
      </c>
      <c r="AL36" s="124">
        <f t="shared" si="209"/>
        <v>0</v>
      </c>
      <c r="AM36" s="124">
        <f t="shared" si="209"/>
        <v>227</v>
      </c>
      <c r="AN36" s="120">
        <f t="shared" si="35"/>
        <v>0</v>
      </c>
      <c r="AO36" s="120">
        <f t="shared" si="36"/>
        <v>0</v>
      </c>
      <c r="AP36" s="120">
        <f t="shared" si="14"/>
        <v>0</v>
      </c>
      <c r="AQ36" s="120">
        <f t="shared" si="15"/>
        <v>0</v>
      </c>
      <c r="AR36" s="120">
        <f t="shared" si="16"/>
        <v>0</v>
      </c>
      <c r="AS36" s="120">
        <f t="shared" si="17"/>
        <v>0</v>
      </c>
      <c r="AT36" s="120">
        <f t="shared" si="37"/>
        <v>0</v>
      </c>
      <c r="AU36" s="5">
        <f t="shared" ref="AU36:BJ36" si="210">AU37</f>
        <v>0</v>
      </c>
      <c r="AV36" s="5">
        <f t="shared" si="210"/>
        <v>0</v>
      </c>
      <c r="AW36" s="5">
        <f t="shared" si="210"/>
        <v>0</v>
      </c>
      <c r="AX36" s="5">
        <f t="shared" si="210"/>
        <v>0</v>
      </c>
      <c r="AY36" s="5">
        <f t="shared" si="210"/>
        <v>0</v>
      </c>
      <c r="AZ36" s="5">
        <f t="shared" si="210"/>
        <v>0</v>
      </c>
      <c r="BA36" s="5">
        <f t="shared" si="210"/>
        <v>0</v>
      </c>
      <c r="BB36" s="5">
        <f t="shared" si="210"/>
        <v>0</v>
      </c>
      <c r="BC36" s="5">
        <f t="shared" si="210"/>
        <v>0</v>
      </c>
      <c r="BD36" s="5">
        <f t="shared" si="210"/>
        <v>0</v>
      </c>
      <c r="BE36" s="5">
        <f t="shared" si="210"/>
        <v>0</v>
      </c>
      <c r="BF36" s="5">
        <f t="shared" si="210"/>
        <v>0</v>
      </c>
      <c r="BG36" s="5">
        <f t="shared" si="210"/>
        <v>0</v>
      </c>
      <c r="BH36" s="5">
        <f t="shared" si="210"/>
        <v>0</v>
      </c>
      <c r="BI36" s="5">
        <f t="shared" si="210"/>
        <v>0</v>
      </c>
      <c r="BJ36" s="5">
        <f t="shared" si="210"/>
        <v>0</v>
      </c>
      <c r="BK36" s="5">
        <f t="shared" ref="BK36:BV36" si="211">BK37</f>
        <v>0</v>
      </c>
      <c r="BL36" s="5">
        <f t="shared" si="211"/>
        <v>0</v>
      </c>
      <c r="BM36" s="5">
        <f t="shared" si="211"/>
        <v>0</v>
      </c>
      <c r="BN36" s="5">
        <f t="shared" si="211"/>
        <v>0</v>
      </c>
      <c r="BO36" s="5">
        <f t="shared" si="211"/>
        <v>0</v>
      </c>
      <c r="BP36" s="5">
        <f t="shared" si="211"/>
        <v>0</v>
      </c>
      <c r="BQ36" s="5">
        <f t="shared" si="211"/>
        <v>0</v>
      </c>
      <c r="BR36" s="5">
        <f t="shared" si="211"/>
        <v>0</v>
      </c>
      <c r="BS36" s="5">
        <f t="shared" si="211"/>
        <v>0</v>
      </c>
      <c r="BT36" s="5">
        <f t="shared" si="211"/>
        <v>0</v>
      </c>
      <c r="BU36" s="5">
        <f t="shared" si="211"/>
        <v>0</v>
      </c>
      <c r="BV36" s="5">
        <f t="shared" si="211"/>
        <v>0</v>
      </c>
      <c r="BW36" s="5">
        <v>0</v>
      </c>
      <c r="BX36" s="111"/>
      <c r="BY36" s="120">
        <f t="shared" si="38"/>
        <v>0</v>
      </c>
      <c r="BZ36" s="111"/>
      <c r="CA36" s="111"/>
    </row>
    <row r="37" spans="1:79" ht="30">
      <c r="A37" s="96" t="s">
        <v>425</v>
      </c>
      <c r="B37" s="97" t="s">
        <v>426</v>
      </c>
      <c r="C37" s="104" t="s">
        <v>385</v>
      </c>
      <c r="D37" s="106">
        <f>D38+D39</f>
        <v>1.7791999999999999</v>
      </c>
      <c r="E37" s="120">
        <f t="shared" si="173"/>
        <v>0</v>
      </c>
      <c r="F37" s="277">
        <f t="shared" si="34"/>
        <v>1.7791999999999999</v>
      </c>
      <c r="G37" s="120">
        <f t="shared" si="174"/>
        <v>0</v>
      </c>
      <c r="H37" s="120">
        <f t="shared" si="175"/>
        <v>0</v>
      </c>
      <c r="I37" s="120">
        <f t="shared" si="176"/>
        <v>0</v>
      </c>
      <c r="J37" s="120">
        <f t="shared" si="177"/>
        <v>0</v>
      </c>
      <c r="K37" s="120">
        <f t="shared" si="177"/>
        <v>227</v>
      </c>
      <c r="L37" s="5">
        <f t="shared" ref="L37:AM37" si="212">L38+L39</f>
        <v>0</v>
      </c>
      <c r="M37" s="5">
        <f t="shared" si="212"/>
        <v>0</v>
      </c>
      <c r="N37" s="5">
        <f t="shared" si="212"/>
        <v>0</v>
      </c>
      <c r="O37" s="5">
        <f t="shared" si="212"/>
        <v>0</v>
      </c>
      <c r="P37" s="5">
        <f t="shared" si="212"/>
        <v>0</v>
      </c>
      <c r="Q37" s="5">
        <f t="shared" si="212"/>
        <v>0</v>
      </c>
      <c r="R37" s="5">
        <f t="shared" si="212"/>
        <v>0</v>
      </c>
      <c r="S37" s="5">
        <f t="shared" si="212"/>
        <v>0</v>
      </c>
      <c r="T37" s="5">
        <f t="shared" si="212"/>
        <v>0</v>
      </c>
      <c r="U37" s="5">
        <f t="shared" si="212"/>
        <v>0</v>
      </c>
      <c r="V37" s="5">
        <f t="shared" si="212"/>
        <v>0</v>
      </c>
      <c r="W37" s="5">
        <f t="shared" si="212"/>
        <v>0</v>
      </c>
      <c r="X37" s="5">
        <f t="shared" si="212"/>
        <v>0</v>
      </c>
      <c r="Y37" s="5">
        <f t="shared" si="212"/>
        <v>0</v>
      </c>
      <c r="Z37" s="5">
        <f t="shared" si="212"/>
        <v>0</v>
      </c>
      <c r="AA37" s="5">
        <f t="shared" si="212"/>
        <v>0</v>
      </c>
      <c r="AB37" s="5">
        <f t="shared" si="212"/>
        <v>0</v>
      </c>
      <c r="AC37" s="5">
        <f t="shared" si="212"/>
        <v>0</v>
      </c>
      <c r="AD37" s="5">
        <f t="shared" si="212"/>
        <v>0</v>
      </c>
      <c r="AE37" s="5">
        <f t="shared" si="212"/>
        <v>0</v>
      </c>
      <c r="AF37" s="5">
        <f t="shared" si="212"/>
        <v>0</v>
      </c>
      <c r="AG37" s="5">
        <f t="shared" si="212"/>
        <v>0</v>
      </c>
      <c r="AH37" s="106">
        <f t="shared" si="212"/>
        <v>1.7791999999999999</v>
      </c>
      <c r="AI37" s="5">
        <f t="shared" si="212"/>
        <v>0</v>
      </c>
      <c r="AJ37" s="5">
        <f t="shared" si="212"/>
        <v>0</v>
      </c>
      <c r="AK37" s="124">
        <f t="shared" si="212"/>
        <v>0</v>
      </c>
      <c r="AL37" s="124">
        <f t="shared" si="212"/>
        <v>0</v>
      </c>
      <c r="AM37" s="124">
        <f t="shared" si="212"/>
        <v>227</v>
      </c>
      <c r="AN37" s="120">
        <f t="shared" si="35"/>
        <v>0</v>
      </c>
      <c r="AO37" s="120">
        <f t="shared" si="36"/>
        <v>0</v>
      </c>
      <c r="AP37" s="120">
        <f t="shared" si="14"/>
        <v>0</v>
      </c>
      <c r="AQ37" s="120">
        <f t="shared" si="15"/>
        <v>0</v>
      </c>
      <c r="AR37" s="120">
        <f t="shared" si="16"/>
        <v>0</v>
      </c>
      <c r="AS37" s="120">
        <f t="shared" si="17"/>
        <v>0</v>
      </c>
      <c r="AT37" s="120">
        <f t="shared" si="37"/>
        <v>0</v>
      </c>
      <c r="AU37" s="5">
        <f t="shared" ref="AU37:BY37" si="213">AU38+AU39</f>
        <v>0</v>
      </c>
      <c r="AV37" s="5">
        <f t="shared" si="213"/>
        <v>0</v>
      </c>
      <c r="AW37" s="5">
        <f t="shared" si="213"/>
        <v>0</v>
      </c>
      <c r="AX37" s="5">
        <f t="shared" si="213"/>
        <v>0</v>
      </c>
      <c r="AY37" s="5">
        <f t="shared" si="213"/>
        <v>0</v>
      </c>
      <c r="AZ37" s="5">
        <f t="shared" si="213"/>
        <v>0</v>
      </c>
      <c r="BA37" s="5">
        <f t="shared" si="213"/>
        <v>0</v>
      </c>
      <c r="BB37" s="5">
        <f t="shared" si="213"/>
        <v>0</v>
      </c>
      <c r="BC37" s="5">
        <f t="shared" si="213"/>
        <v>0</v>
      </c>
      <c r="BD37" s="5">
        <f t="shared" si="213"/>
        <v>0</v>
      </c>
      <c r="BE37" s="5">
        <f t="shared" si="213"/>
        <v>0</v>
      </c>
      <c r="BF37" s="5">
        <f t="shared" si="213"/>
        <v>0</v>
      </c>
      <c r="BG37" s="5">
        <f t="shared" si="213"/>
        <v>0</v>
      </c>
      <c r="BH37" s="5">
        <f t="shared" si="213"/>
        <v>0</v>
      </c>
      <c r="BI37" s="5">
        <f t="shared" si="213"/>
        <v>0</v>
      </c>
      <c r="BJ37" s="5">
        <f t="shared" si="213"/>
        <v>0</v>
      </c>
      <c r="BK37" s="5">
        <f t="shared" si="213"/>
        <v>0</v>
      </c>
      <c r="BL37" s="5">
        <f t="shared" si="213"/>
        <v>0</v>
      </c>
      <c r="BM37" s="5">
        <f t="shared" si="213"/>
        <v>0</v>
      </c>
      <c r="BN37" s="5">
        <f t="shared" si="213"/>
        <v>0</v>
      </c>
      <c r="BO37" s="5">
        <f t="shared" si="213"/>
        <v>0</v>
      </c>
      <c r="BP37" s="5">
        <f t="shared" si="213"/>
        <v>0</v>
      </c>
      <c r="BQ37" s="5">
        <f t="shared" si="213"/>
        <v>0</v>
      </c>
      <c r="BR37" s="5">
        <f t="shared" si="213"/>
        <v>0</v>
      </c>
      <c r="BS37" s="5">
        <f t="shared" si="213"/>
        <v>0</v>
      </c>
      <c r="BT37" s="5">
        <f t="shared" si="213"/>
        <v>0</v>
      </c>
      <c r="BU37" s="5">
        <f t="shared" si="213"/>
        <v>0</v>
      </c>
      <c r="BV37" s="5">
        <f t="shared" si="213"/>
        <v>0</v>
      </c>
      <c r="BW37" s="5">
        <f t="shared" si="213"/>
        <v>0</v>
      </c>
      <c r="BX37" s="5">
        <f t="shared" si="213"/>
        <v>0</v>
      </c>
      <c r="BY37" s="5">
        <f t="shared" si="213"/>
        <v>0</v>
      </c>
      <c r="BZ37" s="111"/>
      <c r="CA37" s="111"/>
    </row>
    <row r="38" spans="1:79" s="127" customFormat="1" ht="30">
      <c r="A38" s="128" t="s">
        <v>427</v>
      </c>
      <c r="B38" s="129" t="s">
        <v>428</v>
      </c>
      <c r="C38" s="130" t="s">
        <v>273</v>
      </c>
      <c r="D38" s="279">
        <f>'12'!D36</f>
        <v>1.151</v>
      </c>
      <c r="E38" s="125">
        <f t="shared" si="173"/>
        <v>0</v>
      </c>
      <c r="F38" s="278">
        <f t="shared" si="34"/>
        <v>1.151</v>
      </c>
      <c r="G38" s="125">
        <f t="shared" si="174"/>
        <v>0</v>
      </c>
      <c r="H38" s="125">
        <f t="shared" si="175"/>
        <v>0</v>
      </c>
      <c r="I38" s="125">
        <f t="shared" si="176"/>
        <v>0</v>
      </c>
      <c r="J38" s="125">
        <f t="shared" si="177"/>
        <v>0</v>
      </c>
      <c r="K38" s="328">
        <f t="shared" si="177"/>
        <v>227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/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279">
        <f>D38</f>
        <v>1.151</v>
      </c>
      <c r="AI38" s="124">
        <v>0</v>
      </c>
      <c r="AJ38" s="124">
        <v>0</v>
      </c>
      <c r="AK38" s="124">
        <v>0</v>
      </c>
      <c r="AL38" s="124">
        <v>0</v>
      </c>
      <c r="AM38" s="124">
        <v>227</v>
      </c>
      <c r="AN38" s="125">
        <f t="shared" si="35"/>
        <v>0</v>
      </c>
      <c r="AO38" s="125">
        <f t="shared" si="36"/>
        <v>0</v>
      </c>
      <c r="AP38" s="125">
        <f t="shared" si="14"/>
        <v>0</v>
      </c>
      <c r="AQ38" s="125">
        <f t="shared" si="15"/>
        <v>0</v>
      </c>
      <c r="AR38" s="125">
        <f t="shared" si="16"/>
        <v>0</v>
      </c>
      <c r="AS38" s="125">
        <f t="shared" si="17"/>
        <v>0</v>
      </c>
      <c r="AT38" s="125">
        <f t="shared" si="37"/>
        <v>0</v>
      </c>
      <c r="AU38" s="124">
        <v>0</v>
      </c>
      <c r="AV38" s="124">
        <v>0</v>
      </c>
      <c r="AW38" s="124"/>
      <c r="AX38" s="124"/>
      <c r="AY38" s="124">
        <v>0</v>
      </c>
      <c r="AZ38" s="124"/>
      <c r="BA38" s="124">
        <v>0</v>
      </c>
      <c r="BB38" s="124">
        <v>0</v>
      </c>
      <c r="BC38" s="124">
        <v>0</v>
      </c>
      <c r="BD38" s="124"/>
      <c r="BE38" s="124"/>
      <c r="BF38" s="124">
        <v>0</v>
      </c>
      <c r="BG38" s="124"/>
      <c r="BH38" s="124">
        <v>0</v>
      </c>
      <c r="BI38" s="124">
        <v>0</v>
      </c>
      <c r="BJ38" s="124">
        <v>0</v>
      </c>
      <c r="BK38" s="124"/>
      <c r="BL38" s="124"/>
      <c r="BM38" s="124">
        <v>0</v>
      </c>
      <c r="BN38" s="124"/>
      <c r="BO38" s="124">
        <v>0</v>
      </c>
      <c r="BP38" s="124"/>
      <c r="BQ38" s="124"/>
      <c r="BR38" s="124"/>
      <c r="BS38" s="124"/>
      <c r="BT38" s="124"/>
      <c r="BU38" s="124"/>
      <c r="BV38" s="124"/>
      <c r="BW38" s="124">
        <v>0</v>
      </c>
      <c r="BX38" s="126"/>
      <c r="BY38" s="125">
        <f t="shared" si="38"/>
        <v>0</v>
      </c>
      <c r="BZ38" s="126"/>
      <c r="CA38" s="126"/>
    </row>
    <row r="39" spans="1:79" s="127" customFormat="1" ht="25.5" customHeight="1">
      <c r="A39" s="128" t="s">
        <v>1063</v>
      </c>
      <c r="B39" s="129" t="s">
        <v>428</v>
      </c>
      <c r="C39" s="130" t="s">
        <v>1116</v>
      </c>
      <c r="D39" s="279">
        <f>'12'!D37</f>
        <v>0.62819999999999998</v>
      </c>
      <c r="E39" s="125">
        <f t="shared" ref="E39" si="214">L39+S39+Z39+AG39</f>
        <v>0</v>
      </c>
      <c r="F39" s="278">
        <f t="shared" ref="F39" si="215">M39+T39+AA39+AH39</f>
        <v>0.62819999999999998</v>
      </c>
      <c r="G39" s="125">
        <f t="shared" ref="G39" si="216">N39+U39+AB39+AI39</f>
        <v>0</v>
      </c>
      <c r="H39" s="125">
        <f t="shared" ref="H39" si="217">O39+V39+AC39+AJ39</f>
        <v>0</v>
      </c>
      <c r="I39" s="125">
        <f t="shared" ref="I39" si="218">P39+W39+AD39+AK39</f>
        <v>0</v>
      </c>
      <c r="J39" s="125">
        <f t="shared" ref="J39" si="219">Q39+X39+AE39+AL39</f>
        <v>0</v>
      </c>
      <c r="K39" s="328">
        <f t="shared" ref="K39" si="220">R39+Y39+AF39+AM39</f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/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279">
        <f>D39</f>
        <v>0.62819999999999998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5">
        <f t="shared" ref="AN39" si="221">AU39+BB39+BI39+BP39</f>
        <v>0</v>
      </c>
      <c r="AO39" s="125">
        <f t="shared" ref="AO39" si="222">AV39+BC39+BJ39+BQ39</f>
        <v>0</v>
      </c>
      <c r="AP39" s="125">
        <f t="shared" ref="AP39" si="223">AW39+BD39+BK39+BR39</f>
        <v>0</v>
      </c>
      <c r="AQ39" s="125">
        <f t="shared" ref="AQ39" si="224">AX39+BE39+BL39+BS39</f>
        <v>0</v>
      </c>
      <c r="AR39" s="125">
        <f t="shared" ref="AR39" si="225">AY39+BF39+BM39+BT39</f>
        <v>0</v>
      </c>
      <c r="AS39" s="125">
        <f t="shared" ref="AS39" si="226">AZ39+BG39+BN39+BU39</f>
        <v>0</v>
      </c>
      <c r="AT39" s="125">
        <f t="shared" ref="AT39" si="227">BA39+BH39+BO39+BV39</f>
        <v>0</v>
      </c>
      <c r="AU39" s="124">
        <v>0</v>
      </c>
      <c r="AV39" s="124">
        <v>0</v>
      </c>
      <c r="AW39" s="124"/>
      <c r="AX39" s="124"/>
      <c r="AY39" s="124">
        <v>0</v>
      </c>
      <c r="AZ39" s="124"/>
      <c r="BA39" s="124">
        <v>0</v>
      </c>
      <c r="BB39" s="124">
        <v>0</v>
      </c>
      <c r="BC39" s="124">
        <v>0</v>
      </c>
      <c r="BD39" s="124"/>
      <c r="BE39" s="124"/>
      <c r="BF39" s="124">
        <v>0</v>
      </c>
      <c r="BG39" s="124"/>
      <c r="BH39" s="124">
        <v>0</v>
      </c>
      <c r="BI39" s="124">
        <v>0</v>
      </c>
      <c r="BJ39" s="124">
        <v>0</v>
      </c>
      <c r="BK39" s="124"/>
      <c r="BL39" s="124"/>
      <c r="BM39" s="124">
        <v>0</v>
      </c>
      <c r="BN39" s="124"/>
      <c r="BO39" s="124">
        <v>0</v>
      </c>
      <c r="BP39" s="124"/>
      <c r="BQ39" s="124"/>
      <c r="BR39" s="124"/>
      <c r="BS39" s="124"/>
      <c r="BT39" s="124"/>
      <c r="BU39" s="124"/>
      <c r="BV39" s="124"/>
      <c r="BW39" s="124">
        <v>0</v>
      </c>
      <c r="BX39" s="126"/>
      <c r="BY39" s="125">
        <f t="shared" ref="BY39" si="228">(M39+T39+AA39)-AO39</f>
        <v>0</v>
      </c>
      <c r="BZ39" s="126"/>
      <c r="CA39" s="126"/>
    </row>
    <row r="40" spans="1:79" ht="42.75">
      <c r="A40" s="89" t="s">
        <v>429</v>
      </c>
      <c r="B40" s="90" t="s">
        <v>430</v>
      </c>
      <c r="C40" s="101"/>
      <c r="D40" s="5">
        <f>D41+D42+D43</f>
        <v>3.327</v>
      </c>
      <c r="E40" s="120">
        <f t="shared" si="173"/>
        <v>0</v>
      </c>
      <c r="F40" s="277">
        <f t="shared" si="34"/>
        <v>3.327</v>
      </c>
      <c r="G40" s="120">
        <f t="shared" si="174"/>
        <v>0.16</v>
      </c>
      <c r="H40" s="120">
        <f t="shared" si="175"/>
        <v>0</v>
      </c>
      <c r="I40" s="120">
        <f t="shared" si="176"/>
        <v>4.0199999999999996</v>
      </c>
      <c r="J40" s="120">
        <f t="shared" si="177"/>
        <v>0</v>
      </c>
      <c r="K40" s="328">
        <f t="shared" si="177"/>
        <v>0</v>
      </c>
      <c r="L40" s="5">
        <f>L41+L42+L43</f>
        <v>0</v>
      </c>
      <c r="M40" s="5">
        <f>M41+M42+M43</f>
        <v>0</v>
      </c>
      <c r="N40" s="5">
        <f t="shared" ref="N40:Q40" si="229">N41+N42+N43</f>
        <v>0</v>
      </c>
      <c r="O40" s="5">
        <f t="shared" si="229"/>
        <v>0</v>
      </c>
      <c r="P40" s="5">
        <f t="shared" si="229"/>
        <v>0</v>
      </c>
      <c r="Q40" s="5">
        <f t="shared" si="229"/>
        <v>0</v>
      </c>
      <c r="R40" s="5">
        <f>R41+R42+R43</f>
        <v>0</v>
      </c>
      <c r="S40" s="5">
        <f>S41+S42+S43</f>
        <v>0</v>
      </c>
      <c r="T40" s="5">
        <f>T41+T42+T43</f>
        <v>0</v>
      </c>
      <c r="U40" s="5">
        <f t="shared" ref="U40" si="230">U41+U42+U43</f>
        <v>0</v>
      </c>
      <c r="V40" s="5">
        <f t="shared" ref="V40" si="231">V41+V42+V43</f>
        <v>0</v>
      </c>
      <c r="W40" s="5">
        <f t="shared" ref="W40" si="232">W41+W42+W43</f>
        <v>0</v>
      </c>
      <c r="X40" s="5">
        <f t="shared" ref="X40" si="233">X41+X42+X43</f>
        <v>0</v>
      </c>
      <c r="Y40" s="5">
        <f>Y41+Y42+Y43</f>
        <v>0</v>
      </c>
      <c r="Z40" s="5">
        <f>Z41+Z42+Z43</f>
        <v>0</v>
      </c>
      <c r="AA40" s="5">
        <f>AA41+AA42+AA43</f>
        <v>0</v>
      </c>
      <c r="AB40" s="5">
        <f t="shared" ref="AB40" si="234">AB41+AB42+AB43</f>
        <v>0</v>
      </c>
      <c r="AC40" s="5">
        <f t="shared" ref="AC40" si="235">AC41+AC42+AC43</f>
        <v>0</v>
      </c>
      <c r="AD40" s="5">
        <f t="shared" ref="AD40" si="236">AD41+AD42+AD43</f>
        <v>0</v>
      </c>
      <c r="AE40" s="5">
        <f t="shared" ref="AE40" si="237">AE41+AE42+AE43</f>
        <v>0</v>
      </c>
      <c r="AF40" s="5">
        <f>AF41+AF42+AF43</f>
        <v>0</v>
      </c>
      <c r="AG40" s="5">
        <f>AG41+AG42+AG43</f>
        <v>0</v>
      </c>
      <c r="AH40" s="106">
        <f>AH41+AH42+AH43</f>
        <v>3.327</v>
      </c>
      <c r="AI40" s="5">
        <f t="shared" ref="AI40" si="238">AI41+AI42+AI43</f>
        <v>0.16</v>
      </c>
      <c r="AJ40" s="5">
        <f t="shared" ref="AJ40" si="239">AJ41+AJ42+AJ43</f>
        <v>0</v>
      </c>
      <c r="AK40" s="124">
        <f t="shared" ref="AK40" si="240">AK41+AK42+AK43</f>
        <v>4.0199999999999996</v>
      </c>
      <c r="AL40" s="124">
        <f t="shared" ref="AL40" si="241">AL41+AL42+AL43</f>
        <v>0</v>
      </c>
      <c r="AM40" s="124">
        <f>AM41+AM42+AM43</f>
        <v>0</v>
      </c>
      <c r="AN40" s="120">
        <f t="shared" si="35"/>
        <v>0</v>
      </c>
      <c r="AO40" s="120">
        <f t="shared" si="36"/>
        <v>0</v>
      </c>
      <c r="AP40" s="120">
        <f t="shared" si="14"/>
        <v>0</v>
      </c>
      <c r="AQ40" s="120">
        <f t="shared" si="15"/>
        <v>0</v>
      </c>
      <c r="AR40" s="120">
        <f t="shared" si="16"/>
        <v>0</v>
      </c>
      <c r="AS40" s="120">
        <f t="shared" si="17"/>
        <v>0</v>
      </c>
      <c r="AT40" s="120">
        <f t="shared" si="37"/>
        <v>0</v>
      </c>
      <c r="AU40" s="5">
        <f>AU41+AU42+AU43</f>
        <v>0</v>
      </c>
      <c r="AV40" s="5">
        <f>AV41+AV42+AV43</f>
        <v>0</v>
      </c>
      <c r="AW40" s="5">
        <f t="shared" ref="AW40" si="242">AW41+AW42+AW43</f>
        <v>0</v>
      </c>
      <c r="AX40" s="5">
        <f t="shared" ref="AX40" si="243">AX41+AX42+AX43</f>
        <v>0</v>
      </c>
      <c r="AY40" s="5">
        <f t="shared" ref="AY40" si="244">AY41+AY42+AY43</f>
        <v>0</v>
      </c>
      <c r="AZ40" s="5">
        <f t="shared" ref="AZ40" si="245">AZ41+AZ42+AZ43</f>
        <v>0</v>
      </c>
      <c r="BA40" s="5">
        <f>BA41+BA42+BA43</f>
        <v>0</v>
      </c>
      <c r="BB40" s="5">
        <f>BB41+BB42+BB43</f>
        <v>0</v>
      </c>
      <c r="BC40" s="5">
        <f>BC41+BC42+BC43</f>
        <v>0</v>
      </c>
      <c r="BD40" s="5">
        <f t="shared" ref="BD40" si="246">BD41+BD42+BD43</f>
        <v>0</v>
      </c>
      <c r="BE40" s="5">
        <f t="shared" ref="BE40" si="247">BE41+BE42+BE43</f>
        <v>0</v>
      </c>
      <c r="BF40" s="5">
        <f t="shared" ref="BF40" si="248">BF41+BF42+BF43</f>
        <v>0</v>
      </c>
      <c r="BG40" s="5">
        <f t="shared" ref="BG40" si="249">BG41+BG42+BG43</f>
        <v>0</v>
      </c>
      <c r="BH40" s="5">
        <f>BH41+BH42+BH43</f>
        <v>0</v>
      </c>
      <c r="BI40" s="5">
        <f>BI41+BI42+BI43</f>
        <v>0</v>
      </c>
      <c r="BJ40" s="5">
        <f>BJ41+BJ42+BJ43</f>
        <v>0</v>
      </c>
      <c r="BK40" s="5">
        <f t="shared" ref="BK40" si="250">BK41+BK42+BK43</f>
        <v>0</v>
      </c>
      <c r="BL40" s="5">
        <f t="shared" ref="BL40" si="251">BL41+BL42+BL43</f>
        <v>0</v>
      </c>
      <c r="BM40" s="5">
        <f t="shared" ref="BM40" si="252">BM41+BM42+BM43</f>
        <v>0</v>
      </c>
      <c r="BN40" s="5">
        <f t="shared" ref="BN40" si="253">BN41+BN42+BN43</f>
        <v>0</v>
      </c>
      <c r="BO40" s="5">
        <f>BO41+BO42+BO43</f>
        <v>0</v>
      </c>
      <c r="BP40" s="5">
        <f>BP41+BP42+BP43</f>
        <v>0</v>
      </c>
      <c r="BQ40" s="5">
        <f>BQ41+BQ42+BQ43</f>
        <v>0</v>
      </c>
      <c r="BR40" s="5">
        <f t="shared" ref="BR40" si="254">BR41+BR42+BR43</f>
        <v>0</v>
      </c>
      <c r="BS40" s="5">
        <f t="shared" ref="BS40" si="255">BS41+BS42+BS43</f>
        <v>0</v>
      </c>
      <c r="BT40" s="5">
        <f t="shared" ref="BT40" si="256">BT41+BT42+BT43</f>
        <v>0</v>
      </c>
      <c r="BU40" s="5">
        <f t="shared" ref="BU40" si="257">BU41+BU42+BU43</f>
        <v>0</v>
      </c>
      <c r="BV40" s="5">
        <f>BV41+BV42+BV43</f>
        <v>0</v>
      </c>
      <c r="BW40" s="5">
        <v>0</v>
      </c>
      <c r="BX40" s="111"/>
      <c r="BY40" s="120">
        <f t="shared" si="38"/>
        <v>0</v>
      </c>
      <c r="BZ40" s="111"/>
      <c r="CA40" s="111"/>
    </row>
    <row r="41" spans="1:79" ht="45">
      <c r="A41" s="91" t="s">
        <v>431</v>
      </c>
      <c r="B41" s="99" t="s">
        <v>432</v>
      </c>
      <c r="C41" s="102" t="s">
        <v>433</v>
      </c>
      <c r="D41" s="5">
        <f>'12'!D39</f>
        <v>0.60299999999999998</v>
      </c>
      <c r="E41" s="120">
        <f t="shared" si="173"/>
        <v>0</v>
      </c>
      <c r="F41" s="277">
        <f t="shared" si="34"/>
        <v>0.60299999999999998</v>
      </c>
      <c r="G41" s="120">
        <f t="shared" si="174"/>
        <v>0.16</v>
      </c>
      <c r="H41" s="120">
        <f t="shared" si="175"/>
        <v>0</v>
      </c>
      <c r="I41" s="120">
        <f t="shared" si="176"/>
        <v>0</v>
      </c>
      <c r="J41" s="120">
        <f t="shared" si="177"/>
        <v>0</v>
      </c>
      <c r="K41" s="120">
        <f t="shared" si="177"/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106">
        <f>D41</f>
        <v>0.60299999999999998</v>
      </c>
      <c r="AI41" s="5">
        <v>0.16</v>
      </c>
      <c r="AJ41" s="5">
        <v>0</v>
      </c>
      <c r="AK41" s="124">
        <v>0</v>
      </c>
      <c r="AL41" s="124">
        <v>0</v>
      </c>
      <c r="AM41" s="124">
        <v>0</v>
      </c>
      <c r="AN41" s="120">
        <f t="shared" si="35"/>
        <v>0</v>
      </c>
      <c r="AO41" s="120">
        <f t="shared" si="36"/>
        <v>0</v>
      </c>
      <c r="AP41" s="120">
        <f t="shared" si="14"/>
        <v>0</v>
      </c>
      <c r="AQ41" s="120">
        <f t="shared" si="15"/>
        <v>0</v>
      </c>
      <c r="AR41" s="120">
        <f t="shared" si="16"/>
        <v>0</v>
      </c>
      <c r="AS41" s="120">
        <f t="shared" si="17"/>
        <v>0</v>
      </c>
      <c r="AT41" s="120">
        <f t="shared" si="37"/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111"/>
      <c r="BY41" s="120">
        <f t="shared" si="38"/>
        <v>0</v>
      </c>
      <c r="BZ41" s="111"/>
      <c r="CA41" s="111"/>
    </row>
    <row r="42" spans="1:79" ht="30">
      <c r="A42" s="91" t="s">
        <v>444</v>
      </c>
      <c r="B42" s="99" t="s">
        <v>435</v>
      </c>
      <c r="C42" s="102" t="s">
        <v>436</v>
      </c>
      <c r="D42" s="5">
        <f>'12'!D40</f>
        <v>0.109</v>
      </c>
      <c r="E42" s="120">
        <f t="shared" si="173"/>
        <v>0</v>
      </c>
      <c r="F42" s="277">
        <f t="shared" si="34"/>
        <v>0.109</v>
      </c>
      <c r="G42" s="120">
        <f t="shared" si="174"/>
        <v>0</v>
      </c>
      <c r="H42" s="120">
        <f t="shared" si="175"/>
        <v>0</v>
      </c>
      <c r="I42" s="120">
        <f t="shared" si="176"/>
        <v>0.1</v>
      </c>
      <c r="J42" s="120">
        <f t="shared" si="177"/>
        <v>0</v>
      </c>
      <c r="K42" s="120">
        <f t="shared" si="177"/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106">
        <f t="shared" ref="AH42:AH43" si="258">D42</f>
        <v>0.109</v>
      </c>
      <c r="AI42" s="5">
        <v>0</v>
      </c>
      <c r="AJ42" s="5">
        <v>0</v>
      </c>
      <c r="AK42" s="345">
        <v>0.1</v>
      </c>
      <c r="AL42" s="124">
        <v>0</v>
      </c>
      <c r="AM42" s="124">
        <v>0</v>
      </c>
      <c r="AN42" s="120">
        <f t="shared" si="35"/>
        <v>0</v>
      </c>
      <c r="AO42" s="120">
        <f t="shared" si="36"/>
        <v>0</v>
      </c>
      <c r="AP42" s="120">
        <f t="shared" si="14"/>
        <v>0</v>
      </c>
      <c r="AQ42" s="120">
        <f t="shared" si="15"/>
        <v>0</v>
      </c>
      <c r="AR42" s="120">
        <f t="shared" si="16"/>
        <v>0</v>
      </c>
      <c r="AS42" s="120">
        <f t="shared" si="17"/>
        <v>0</v>
      </c>
      <c r="AT42" s="120">
        <f t="shared" si="37"/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111"/>
      <c r="BY42" s="120">
        <f t="shared" si="38"/>
        <v>0</v>
      </c>
      <c r="BZ42" s="111"/>
      <c r="CA42" s="111"/>
    </row>
    <row r="43" spans="1:79" ht="30">
      <c r="A43" s="91" t="s">
        <v>434</v>
      </c>
      <c r="B43" s="99" t="s">
        <v>438</v>
      </c>
      <c r="C43" s="102" t="s">
        <v>439</v>
      </c>
      <c r="D43" s="5">
        <f>'12'!D41</f>
        <v>2.6150000000000002</v>
      </c>
      <c r="E43" s="120">
        <f t="shared" si="173"/>
        <v>0</v>
      </c>
      <c r="F43" s="277">
        <f t="shared" si="34"/>
        <v>2.6150000000000002</v>
      </c>
      <c r="G43" s="120">
        <f t="shared" si="174"/>
        <v>0</v>
      </c>
      <c r="H43" s="120">
        <f t="shared" si="175"/>
        <v>0</v>
      </c>
      <c r="I43" s="120">
        <f t="shared" si="176"/>
        <v>3.92</v>
      </c>
      <c r="J43" s="120">
        <f t="shared" si="177"/>
        <v>0</v>
      </c>
      <c r="K43" s="120">
        <f t="shared" si="177"/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106">
        <f t="shared" si="258"/>
        <v>2.6150000000000002</v>
      </c>
      <c r="AI43" s="5">
        <v>0</v>
      </c>
      <c r="AJ43" s="5">
        <v>0</v>
      </c>
      <c r="AK43" s="124">
        <v>3.92</v>
      </c>
      <c r="AL43" s="124">
        <v>0</v>
      </c>
      <c r="AM43" s="124">
        <v>0</v>
      </c>
      <c r="AN43" s="120">
        <f t="shared" si="35"/>
        <v>0</v>
      </c>
      <c r="AO43" s="120">
        <f t="shared" si="36"/>
        <v>0</v>
      </c>
      <c r="AP43" s="120">
        <f t="shared" si="14"/>
        <v>0</v>
      </c>
      <c r="AQ43" s="120">
        <f t="shared" si="15"/>
        <v>0</v>
      </c>
      <c r="AR43" s="120">
        <f t="shared" si="16"/>
        <v>0</v>
      </c>
      <c r="AS43" s="120">
        <f t="shared" si="17"/>
        <v>0</v>
      </c>
      <c r="AT43" s="120">
        <f t="shared" si="37"/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111"/>
      <c r="BY43" s="120">
        <f t="shared" si="38"/>
        <v>0</v>
      </c>
      <c r="BZ43" s="111"/>
      <c r="CA43" s="111"/>
    </row>
    <row r="44" spans="1:79" ht="28.5">
      <c r="A44" s="108"/>
      <c r="B44" s="90" t="s">
        <v>441</v>
      </c>
      <c r="C44" s="101"/>
      <c r="D44" s="5">
        <f t="shared" ref="D44" si="259">G44</f>
        <v>0</v>
      </c>
      <c r="E44" s="120">
        <f t="shared" si="173"/>
        <v>0</v>
      </c>
      <c r="F44" s="277">
        <f t="shared" si="34"/>
        <v>0</v>
      </c>
      <c r="G44" s="120">
        <f t="shared" si="174"/>
        <v>0</v>
      </c>
      <c r="H44" s="120">
        <f t="shared" si="175"/>
        <v>0</v>
      </c>
      <c r="I44" s="120">
        <f t="shared" si="176"/>
        <v>0</v>
      </c>
      <c r="J44" s="120">
        <f t="shared" si="177"/>
        <v>0</v>
      </c>
      <c r="K44" s="120">
        <f t="shared" si="177"/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106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111"/>
      <c r="BY44" s="120">
        <f t="shared" si="38"/>
        <v>0</v>
      </c>
      <c r="BZ44" s="111"/>
      <c r="CA44" s="111"/>
    </row>
    <row r="45" spans="1:79" s="54" customFormat="1" ht="30" customHeight="1">
      <c r="A45" s="386" t="s">
        <v>31</v>
      </c>
      <c r="B45" s="386"/>
      <c r="C45" s="386"/>
      <c r="D45" s="119">
        <f>D18</f>
        <v>11.509499999999999</v>
      </c>
      <c r="E45" s="55">
        <f t="shared" ref="E45:BP45" si="260">E18</f>
        <v>0</v>
      </c>
      <c r="F45" s="119">
        <f t="shared" si="260"/>
        <v>11.509499999999999</v>
      </c>
      <c r="G45" s="55">
        <f t="shared" si="260"/>
        <v>0.16</v>
      </c>
      <c r="H45" s="55">
        <f t="shared" si="260"/>
        <v>0</v>
      </c>
      <c r="I45" s="119">
        <f t="shared" si="260"/>
        <v>13.125</v>
      </c>
      <c r="J45" s="55">
        <f t="shared" si="260"/>
        <v>0</v>
      </c>
      <c r="K45" s="55">
        <f t="shared" si="260"/>
        <v>227</v>
      </c>
      <c r="L45" s="55">
        <f t="shared" si="260"/>
        <v>0</v>
      </c>
      <c r="M45" s="55">
        <f t="shared" si="260"/>
        <v>0</v>
      </c>
      <c r="N45" s="55">
        <f t="shared" si="260"/>
        <v>0</v>
      </c>
      <c r="O45" s="55">
        <f t="shared" si="260"/>
        <v>0</v>
      </c>
      <c r="P45" s="55">
        <f t="shared" si="260"/>
        <v>0</v>
      </c>
      <c r="Q45" s="55">
        <f t="shared" si="260"/>
        <v>0</v>
      </c>
      <c r="R45" s="55">
        <f t="shared" si="260"/>
        <v>0</v>
      </c>
      <c r="S45" s="55">
        <f t="shared" si="260"/>
        <v>0</v>
      </c>
      <c r="T45" s="55">
        <f t="shared" si="260"/>
        <v>0</v>
      </c>
      <c r="U45" s="55">
        <f t="shared" si="260"/>
        <v>0</v>
      </c>
      <c r="V45" s="55">
        <f t="shared" si="260"/>
        <v>0</v>
      </c>
      <c r="W45" s="55">
        <f t="shared" si="260"/>
        <v>0</v>
      </c>
      <c r="X45" s="55">
        <f t="shared" si="260"/>
        <v>0</v>
      </c>
      <c r="Y45" s="55">
        <f t="shared" si="260"/>
        <v>0</v>
      </c>
      <c r="Z45" s="55">
        <f t="shared" si="260"/>
        <v>0</v>
      </c>
      <c r="AA45" s="55">
        <f t="shared" si="260"/>
        <v>0</v>
      </c>
      <c r="AB45" s="55">
        <f t="shared" si="260"/>
        <v>0</v>
      </c>
      <c r="AC45" s="55">
        <f t="shared" si="260"/>
        <v>0</v>
      </c>
      <c r="AD45" s="55">
        <f t="shared" si="260"/>
        <v>0</v>
      </c>
      <c r="AE45" s="55">
        <f t="shared" si="260"/>
        <v>0</v>
      </c>
      <c r="AF45" s="55">
        <f t="shared" si="260"/>
        <v>0</v>
      </c>
      <c r="AG45" s="55">
        <f t="shared" si="260"/>
        <v>0</v>
      </c>
      <c r="AH45" s="119">
        <f t="shared" si="260"/>
        <v>11.509499999999999</v>
      </c>
      <c r="AI45" s="55">
        <f t="shared" si="260"/>
        <v>0.16</v>
      </c>
      <c r="AJ45" s="55">
        <f t="shared" si="260"/>
        <v>0</v>
      </c>
      <c r="AK45" s="119">
        <f t="shared" si="260"/>
        <v>13.125</v>
      </c>
      <c r="AL45" s="55">
        <f t="shared" si="260"/>
        <v>0</v>
      </c>
      <c r="AM45" s="55">
        <f t="shared" si="260"/>
        <v>227</v>
      </c>
      <c r="AN45" s="55">
        <f t="shared" si="260"/>
        <v>0</v>
      </c>
      <c r="AO45" s="55">
        <f t="shared" si="260"/>
        <v>0</v>
      </c>
      <c r="AP45" s="55">
        <f t="shared" si="260"/>
        <v>0</v>
      </c>
      <c r="AQ45" s="55">
        <f t="shared" si="260"/>
        <v>0</v>
      </c>
      <c r="AR45" s="55">
        <f t="shared" si="260"/>
        <v>0</v>
      </c>
      <c r="AS45" s="55">
        <f t="shared" si="260"/>
        <v>0</v>
      </c>
      <c r="AT45" s="55">
        <f t="shared" si="260"/>
        <v>0</v>
      </c>
      <c r="AU45" s="55">
        <f t="shared" si="260"/>
        <v>0</v>
      </c>
      <c r="AV45" s="55">
        <f t="shared" si="260"/>
        <v>0</v>
      </c>
      <c r="AW45" s="55">
        <f t="shared" si="260"/>
        <v>0</v>
      </c>
      <c r="AX45" s="55">
        <f t="shared" si="260"/>
        <v>0</v>
      </c>
      <c r="AY45" s="55">
        <f t="shared" si="260"/>
        <v>0</v>
      </c>
      <c r="AZ45" s="55">
        <f t="shared" si="260"/>
        <v>0</v>
      </c>
      <c r="BA45" s="55">
        <f t="shared" si="260"/>
        <v>0</v>
      </c>
      <c r="BB45" s="55">
        <f t="shared" si="260"/>
        <v>0</v>
      </c>
      <c r="BC45" s="55">
        <f t="shared" si="260"/>
        <v>0</v>
      </c>
      <c r="BD45" s="55">
        <f t="shared" si="260"/>
        <v>0</v>
      </c>
      <c r="BE45" s="55">
        <f t="shared" si="260"/>
        <v>0</v>
      </c>
      <c r="BF45" s="55">
        <f t="shared" si="260"/>
        <v>0</v>
      </c>
      <c r="BG45" s="55">
        <f t="shared" si="260"/>
        <v>0</v>
      </c>
      <c r="BH45" s="55">
        <f t="shared" si="260"/>
        <v>0</v>
      </c>
      <c r="BI45" s="55">
        <f t="shared" si="260"/>
        <v>0</v>
      </c>
      <c r="BJ45" s="55">
        <f t="shared" si="260"/>
        <v>0</v>
      </c>
      <c r="BK45" s="55">
        <f t="shared" si="260"/>
        <v>0</v>
      </c>
      <c r="BL45" s="55">
        <f t="shared" si="260"/>
        <v>0</v>
      </c>
      <c r="BM45" s="55">
        <f t="shared" si="260"/>
        <v>0</v>
      </c>
      <c r="BN45" s="55">
        <f t="shared" si="260"/>
        <v>0</v>
      </c>
      <c r="BO45" s="55">
        <f t="shared" si="260"/>
        <v>0</v>
      </c>
      <c r="BP45" s="55">
        <f t="shared" si="260"/>
        <v>0</v>
      </c>
      <c r="BQ45" s="55">
        <f t="shared" ref="BQ45:BY45" si="261">BQ18</f>
        <v>0</v>
      </c>
      <c r="BR45" s="55">
        <f t="shared" si="261"/>
        <v>0</v>
      </c>
      <c r="BS45" s="55">
        <f t="shared" si="261"/>
        <v>0</v>
      </c>
      <c r="BT45" s="55">
        <f t="shared" si="261"/>
        <v>0</v>
      </c>
      <c r="BU45" s="55">
        <f t="shared" si="261"/>
        <v>0</v>
      </c>
      <c r="BV45" s="55">
        <f t="shared" si="261"/>
        <v>0</v>
      </c>
      <c r="BW45" s="55">
        <f t="shared" si="261"/>
        <v>0</v>
      </c>
      <c r="BX45" s="55">
        <f t="shared" si="261"/>
        <v>0</v>
      </c>
      <c r="BY45" s="55">
        <f t="shared" si="261"/>
        <v>0</v>
      </c>
      <c r="BZ45" s="73"/>
      <c r="CA45" s="57"/>
    </row>
    <row r="46" spans="1:79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4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79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</sheetData>
  <mergeCells count="43">
    <mergeCell ref="AN12:BV12"/>
    <mergeCell ref="BW12:BZ14"/>
    <mergeCell ref="CA12:CA16"/>
    <mergeCell ref="AN13:BV13"/>
    <mergeCell ref="AN14:AT14"/>
    <mergeCell ref="AU14:BA14"/>
    <mergeCell ref="BB14:BH14"/>
    <mergeCell ref="BI14:BO14"/>
    <mergeCell ref="BP14:BV14"/>
    <mergeCell ref="AO15:AT15"/>
    <mergeCell ref="AV15:BA15"/>
    <mergeCell ref="BC15:BH15"/>
    <mergeCell ref="BJ15:BO15"/>
    <mergeCell ref="BQ15:BV15"/>
    <mergeCell ref="BW15:BX15"/>
    <mergeCell ref="BY15:BZ15"/>
    <mergeCell ref="A45:C45"/>
    <mergeCell ref="F15:K15"/>
    <mergeCell ref="M15:R15"/>
    <mergeCell ref="T15:Y15"/>
    <mergeCell ref="AA15:AF15"/>
    <mergeCell ref="AK1:AM1"/>
    <mergeCell ref="AK2:AM2"/>
    <mergeCell ref="AK3:AM3"/>
    <mergeCell ref="A5:T5"/>
    <mergeCell ref="A6:T6"/>
    <mergeCell ref="A4:AM4"/>
    <mergeCell ref="E12:AM12"/>
    <mergeCell ref="E13:AM13"/>
    <mergeCell ref="E14:K14"/>
    <mergeCell ref="A7:T7"/>
    <mergeCell ref="A8:T8"/>
    <mergeCell ref="A9:T9"/>
    <mergeCell ref="L14:R14"/>
    <mergeCell ref="S14:Y14"/>
    <mergeCell ref="A10:T10"/>
    <mergeCell ref="Z14:AF14"/>
    <mergeCell ref="AG14:AM14"/>
    <mergeCell ref="A12:A16"/>
    <mergeCell ref="B12:B16"/>
    <mergeCell ref="C12:C16"/>
    <mergeCell ref="D12:D16"/>
    <mergeCell ref="AH15:AM15"/>
  </mergeCells>
  <pageMargins left="0.23622047244094491" right="0.15748031496062992" top="0.19685039370078741" bottom="0.19685039370078741" header="0.31496062992125984" footer="0.31496062992125984"/>
  <pageSetup paperSize="9"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D1" zoomScale="80" zoomScaleNormal="80" workbookViewId="0">
      <selection activeCell="A5" sqref="A5:T5"/>
    </sheetView>
  </sheetViews>
  <sheetFormatPr defaultRowHeight="15"/>
  <cols>
    <col min="1" max="1" width="9" customWidth="1"/>
    <col min="2" max="2" width="49" customWidth="1"/>
    <col min="3" max="3" width="8.5703125" customWidth="1"/>
    <col min="4" max="4" width="22.28515625" customWidth="1"/>
    <col min="30" max="34" width="9.140625" customWidth="1"/>
  </cols>
  <sheetData>
    <row r="1" spans="1:35" ht="15.75" customHeight="1">
      <c r="X1" s="348" t="s">
        <v>158</v>
      </c>
      <c r="Y1" s="348"/>
      <c r="Z1" s="348"/>
      <c r="AA1" s="348"/>
      <c r="AB1" s="44"/>
      <c r="AC1" s="44"/>
      <c r="AD1" s="44"/>
    </row>
    <row r="2" spans="1:35" ht="18" customHeight="1">
      <c r="X2" s="348" t="s">
        <v>19</v>
      </c>
      <c r="Y2" s="348"/>
      <c r="Z2" s="348"/>
      <c r="AA2" s="348"/>
      <c r="AB2" s="44"/>
      <c r="AC2" s="44"/>
      <c r="AD2" s="44"/>
    </row>
    <row r="3" spans="1:35" ht="18.75" customHeight="1">
      <c r="X3" s="348" t="s">
        <v>20</v>
      </c>
      <c r="Y3" s="348"/>
      <c r="Z3" s="348"/>
      <c r="AA3" s="348"/>
      <c r="AB3" s="44"/>
      <c r="AC3" s="44"/>
      <c r="AD3" s="44"/>
    </row>
    <row r="4" spans="1:35" ht="21.75" customHeight="1">
      <c r="A4" s="347" t="s">
        <v>301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</row>
    <row r="5" spans="1:35" ht="16.5" customHeight="1">
      <c r="A5" s="347" t="s">
        <v>1135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35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45"/>
      <c r="V6" s="45"/>
      <c r="W6" s="45"/>
      <c r="X6" s="45"/>
      <c r="Y6" s="45"/>
      <c r="Z6" s="45"/>
      <c r="AA6" s="45"/>
    </row>
    <row r="7" spans="1:35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44"/>
      <c r="V7" s="44"/>
      <c r="W7" s="44"/>
      <c r="X7" s="44"/>
      <c r="Y7" s="44"/>
      <c r="Z7" s="44"/>
      <c r="AA7" s="44"/>
    </row>
    <row r="8" spans="1:35" ht="23.2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45"/>
      <c r="V8" s="45"/>
      <c r="W8" s="45"/>
      <c r="X8" s="45"/>
      <c r="Y8" s="45"/>
      <c r="Z8" s="45"/>
      <c r="AA8" s="45"/>
    </row>
    <row r="9" spans="1:35" ht="20.25" customHeight="1">
      <c r="A9" s="347" t="s">
        <v>1108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35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44"/>
      <c r="V10" s="44"/>
      <c r="W10" s="44"/>
      <c r="X10" s="44"/>
      <c r="Y10" s="44"/>
      <c r="Z10" s="44"/>
      <c r="AA10" s="44"/>
    </row>
    <row r="11" spans="1:35" ht="18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4"/>
      <c r="V11" s="44"/>
      <c r="W11" s="44"/>
      <c r="X11" s="44"/>
      <c r="Y11" s="44"/>
      <c r="Z11" s="44"/>
      <c r="AA11" s="44"/>
    </row>
    <row r="12" spans="1:35" ht="47.25" customHeight="1">
      <c r="A12" s="377" t="s">
        <v>0</v>
      </c>
      <c r="B12" s="377" t="s">
        <v>1</v>
      </c>
      <c r="C12" s="394" t="s">
        <v>2</v>
      </c>
      <c r="D12" s="394" t="s">
        <v>159</v>
      </c>
      <c r="E12" s="392" t="s">
        <v>1124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3"/>
      <c r="AI12" s="280"/>
    </row>
    <row r="13" spans="1:35">
      <c r="A13" s="377"/>
      <c r="B13" s="377"/>
      <c r="C13" s="395"/>
      <c r="D13" s="395"/>
      <c r="E13" s="392" t="s">
        <v>6</v>
      </c>
      <c r="F13" s="397"/>
      <c r="G13" s="397"/>
      <c r="H13" s="397"/>
      <c r="I13" s="393"/>
      <c r="J13" s="392" t="s">
        <v>7</v>
      </c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3"/>
      <c r="AI13" s="280"/>
    </row>
    <row r="14" spans="1:35" ht="15" customHeight="1">
      <c r="A14" s="377"/>
      <c r="B14" s="377"/>
      <c r="C14" s="395"/>
      <c r="D14" s="395"/>
      <c r="E14" s="392" t="s">
        <v>109</v>
      </c>
      <c r="F14" s="397"/>
      <c r="G14" s="397"/>
      <c r="H14" s="397"/>
      <c r="I14" s="393"/>
      <c r="J14" s="392" t="s">
        <v>109</v>
      </c>
      <c r="K14" s="397"/>
      <c r="L14" s="397"/>
      <c r="M14" s="397"/>
      <c r="N14" s="393"/>
      <c r="O14" s="392" t="s">
        <v>110</v>
      </c>
      <c r="P14" s="397"/>
      <c r="Q14" s="397"/>
      <c r="R14" s="397"/>
      <c r="S14" s="393"/>
      <c r="T14" s="392" t="s">
        <v>111</v>
      </c>
      <c r="U14" s="397"/>
      <c r="V14" s="397"/>
      <c r="W14" s="397"/>
      <c r="X14" s="393"/>
      <c r="Y14" s="392" t="s">
        <v>112</v>
      </c>
      <c r="Z14" s="397"/>
      <c r="AA14" s="397"/>
      <c r="AB14" s="397"/>
      <c r="AC14" s="393"/>
      <c r="AD14" s="392" t="s">
        <v>113</v>
      </c>
      <c r="AE14" s="397"/>
      <c r="AF14" s="397"/>
      <c r="AG14" s="397"/>
      <c r="AH14" s="393"/>
    </row>
    <row r="15" spans="1:35">
      <c r="A15" s="377"/>
      <c r="B15" s="377"/>
      <c r="C15" s="396"/>
      <c r="D15" s="396"/>
      <c r="E15" s="50" t="s">
        <v>39</v>
      </c>
      <c r="F15" s="50" t="s">
        <v>40</v>
      </c>
      <c r="G15" s="50" t="s">
        <v>41</v>
      </c>
      <c r="H15" s="50" t="s">
        <v>42</v>
      </c>
      <c r="I15" s="50" t="s">
        <v>43</v>
      </c>
      <c r="J15" s="50" t="s">
        <v>39</v>
      </c>
      <c r="K15" s="50" t="s">
        <v>40</v>
      </c>
      <c r="L15" s="50" t="s">
        <v>41</v>
      </c>
      <c r="M15" s="50" t="s">
        <v>42</v>
      </c>
      <c r="N15" s="50" t="s">
        <v>43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43</v>
      </c>
      <c r="T15" s="50" t="s">
        <v>39</v>
      </c>
      <c r="U15" s="50" t="s">
        <v>40</v>
      </c>
      <c r="V15" s="50" t="s">
        <v>41</v>
      </c>
      <c r="W15" s="50" t="s">
        <v>42</v>
      </c>
      <c r="X15" s="50" t="s">
        <v>43</v>
      </c>
      <c r="Y15" s="50" t="s">
        <v>39</v>
      </c>
      <c r="Z15" s="50" t="s">
        <v>40</v>
      </c>
      <c r="AA15" s="50" t="s">
        <v>41</v>
      </c>
      <c r="AB15" s="50" t="s">
        <v>42</v>
      </c>
      <c r="AC15" s="50" t="s">
        <v>43</v>
      </c>
      <c r="AD15" s="50" t="s">
        <v>39</v>
      </c>
      <c r="AE15" s="50" t="s">
        <v>40</v>
      </c>
      <c r="AF15" s="50" t="s">
        <v>41</v>
      </c>
      <c r="AG15" s="50" t="s">
        <v>42</v>
      </c>
      <c r="AH15" s="50" t="s">
        <v>43</v>
      </c>
    </row>
    <row r="16" spans="1:35">
      <c r="A16" s="50">
        <v>1</v>
      </c>
      <c r="B16" s="50">
        <v>2</v>
      </c>
      <c r="C16" s="50">
        <v>3</v>
      </c>
      <c r="D16" s="50">
        <v>4</v>
      </c>
      <c r="E16" s="50" t="s">
        <v>115</v>
      </c>
      <c r="F16" s="50" t="s">
        <v>116</v>
      </c>
      <c r="G16" s="50" t="s">
        <v>117</v>
      </c>
      <c r="H16" s="50" t="s">
        <v>118</v>
      </c>
      <c r="I16" s="50" t="s">
        <v>119</v>
      </c>
      <c r="J16" s="50" t="s">
        <v>160</v>
      </c>
      <c r="K16" s="50" t="s">
        <v>161</v>
      </c>
      <c r="L16" s="50" t="s">
        <v>162</v>
      </c>
      <c r="M16" s="50" t="s">
        <v>163</v>
      </c>
      <c r="N16" s="50" t="s">
        <v>164</v>
      </c>
      <c r="O16" s="50" t="s">
        <v>165</v>
      </c>
      <c r="P16" s="50" t="s">
        <v>166</v>
      </c>
      <c r="Q16" s="50" t="s">
        <v>167</v>
      </c>
      <c r="R16" s="50" t="s">
        <v>168</v>
      </c>
      <c r="S16" s="50" t="s">
        <v>169</v>
      </c>
      <c r="T16" s="50" t="s">
        <v>170</v>
      </c>
      <c r="U16" s="50" t="s">
        <v>171</v>
      </c>
      <c r="V16" s="50" t="s">
        <v>172</v>
      </c>
      <c r="W16" s="50" t="s">
        <v>173</v>
      </c>
      <c r="X16" s="50" t="s">
        <v>174</v>
      </c>
      <c r="Y16" s="50" t="s">
        <v>175</v>
      </c>
      <c r="Z16" s="50" t="s">
        <v>176</v>
      </c>
      <c r="AA16" s="50" t="s">
        <v>177</v>
      </c>
      <c r="AB16" s="50" t="s">
        <v>178</v>
      </c>
      <c r="AC16" s="50" t="s">
        <v>179</v>
      </c>
      <c r="AD16" s="50" t="s">
        <v>180</v>
      </c>
      <c r="AE16" s="50" t="s">
        <v>181</v>
      </c>
      <c r="AF16" s="50" t="s">
        <v>182</v>
      </c>
      <c r="AG16" s="50" t="s">
        <v>183</v>
      </c>
      <c r="AH16" s="50" t="s">
        <v>184</v>
      </c>
    </row>
    <row r="17" spans="1:34" ht="28.5">
      <c r="A17" s="83" t="s">
        <v>384</v>
      </c>
      <c r="B17" s="84" t="s">
        <v>31</v>
      </c>
      <c r="C17" s="100" t="s">
        <v>385</v>
      </c>
      <c r="D17" s="101" t="s">
        <v>385</v>
      </c>
      <c r="E17" s="120">
        <f t="shared" ref="E17:H17" si="0">E18+E19+E20+E21+E22+E23</f>
        <v>0.16</v>
      </c>
      <c r="F17" s="120">
        <f t="shared" si="0"/>
        <v>0</v>
      </c>
      <c r="G17" s="120">
        <f t="shared" si="0"/>
        <v>13.125</v>
      </c>
      <c r="H17" s="120">
        <f t="shared" si="0"/>
        <v>0</v>
      </c>
      <c r="I17" s="120">
        <f>I18+I19+I20+I21+I22+I23</f>
        <v>227</v>
      </c>
      <c r="J17" s="120">
        <f>O17+T17+Y17+AD17</f>
        <v>0</v>
      </c>
      <c r="K17" s="120">
        <f t="shared" ref="K17:N17" si="1">P17+U17+Z17+AE17</f>
        <v>0</v>
      </c>
      <c r="L17" s="120">
        <f t="shared" si="1"/>
        <v>0</v>
      </c>
      <c r="M17" s="120">
        <f t="shared" si="1"/>
        <v>0</v>
      </c>
      <c r="N17" s="120">
        <f t="shared" si="1"/>
        <v>0</v>
      </c>
      <c r="O17" s="120">
        <f t="shared" ref="O17" si="2">O18+O19+O20+O21+O22+O23</f>
        <v>0</v>
      </c>
      <c r="P17" s="120">
        <f t="shared" ref="P17" si="3">P18+P19+P20+P21+P22+P23</f>
        <v>0</v>
      </c>
      <c r="Q17" s="120">
        <f t="shared" ref="Q17" si="4">Q18+Q19+Q20+Q21+Q22+Q23</f>
        <v>0</v>
      </c>
      <c r="R17" s="120">
        <f t="shared" ref="R17" si="5">R18+R19+R20+R21+R22+R23</f>
        <v>0</v>
      </c>
      <c r="S17" s="120">
        <f>S18+S19+S20+S21+S22+S23</f>
        <v>0</v>
      </c>
      <c r="T17" s="120">
        <f t="shared" ref="T17" si="6">T18+T19+T20+T21+T22+T23</f>
        <v>0</v>
      </c>
      <c r="U17" s="120">
        <f t="shared" ref="U17" si="7">U18+U19+U20+U21+U22+U23</f>
        <v>0</v>
      </c>
      <c r="V17" s="120">
        <f t="shared" ref="V17" si="8">V18+V19+V20+V21+V22+V23</f>
        <v>0</v>
      </c>
      <c r="W17" s="120">
        <f t="shared" ref="W17" si="9">W18+W19+W20+W21+W22+W23</f>
        <v>0</v>
      </c>
      <c r="X17" s="120">
        <f>X18+X19+X20+X21+X22+X23</f>
        <v>0</v>
      </c>
      <c r="Y17" s="120">
        <f t="shared" ref="Y17" si="10">Y18+Y19+Y20+Y21+Y22+Y23</f>
        <v>0</v>
      </c>
      <c r="Z17" s="120">
        <f t="shared" ref="Z17" si="11">Z18+Z19+Z20+Z21+Z22+Z23</f>
        <v>0</v>
      </c>
      <c r="AA17" s="120">
        <f t="shared" ref="AA17" si="12">AA18+AA19+AA20+AA21+AA22+AA23</f>
        <v>0</v>
      </c>
      <c r="AB17" s="120">
        <f t="shared" ref="AB17" si="13">AB18+AB19+AB20+AB21+AB22+AB23</f>
        <v>0</v>
      </c>
      <c r="AC17" s="120">
        <f>AC18+AC19+AC20+AC21+AC22+AC23</f>
        <v>0</v>
      </c>
      <c r="AD17" s="120">
        <f t="shared" ref="AD17" si="14">AD18+AD19+AD20+AD21+AD22+AD23</f>
        <v>0</v>
      </c>
      <c r="AE17" s="120">
        <f t="shared" ref="AE17" si="15">AE18+AE19+AE20+AE21+AE22+AE23</f>
        <v>0</v>
      </c>
      <c r="AF17" s="120">
        <f t="shared" ref="AF17" si="16">AF18+AF19+AF20+AF21+AF22+AF23</f>
        <v>0</v>
      </c>
      <c r="AG17" s="120">
        <f t="shared" ref="AG17" si="17">AG18+AG19+AG20+AG21+AG22+AG23</f>
        <v>0</v>
      </c>
      <c r="AH17" s="120">
        <f>AH18+AH19+AH20+AH21+AH22+AH23</f>
        <v>0</v>
      </c>
    </row>
    <row r="18" spans="1:34" ht="15.75">
      <c r="A18" s="85" t="s">
        <v>386</v>
      </c>
      <c r="B18" s="86" t="s">
        <v>387</v>
      </c>
      <c r="C18" s="101" t="s">
        <v>385</v>
      </c>
      <c r="D18" s="101" t="s">
        <v>385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f t="shared" ref="J18:J43" si="18">O18+T18+Y18+AD18</f>
        <v>0</v>
      </c>
      <c r="K18" s="120">
        <f t="shared" ref="K18:K43" si="19">P18+U18+Z18+AE18</f>
        <v>0</v>
      </c>
      <c r="L18" s="120">
        <f t="shared" ref="L18:L43" si="20">Q18+V18+AA18+AF18</f>
        <v>0</v>
      </c>
      <c r="M18" s="120">
        <f t="shared" ref="M18:M43" si="21">R18+W18+AB18+AG18</f>
        <v>0</v>
      </c>
      <c r="N18" s="120">
        <f t="shared" ref="N18:N43" si="22">S18+X18+AC18+AH18</f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</row>
    <row r="19" spans="1:34" ht="30">
      <c r="A19" s="87" t="s">
        <v>388</v>
      </c>
      <c r="B19" s="88" t="s">
        <v>389</v>
      </c>
      <c r="C19" s="101" t="s">
        <v>385</v>
      </c>
      <c r="D19" s="101" t="s">
        <v>385</v>
      </c>
      <c r="E19" s="120">
        <f t="shared" ref="E19:H19" si="23">E25</f>
        <v>0</v>
      </c>
      <c r="F19" s="120">
        <f t="shared" si="23"/>
        <v>0</v>
      </c>
      <c r="G19" s="120">
        <f t="shared" si="23"/>
        <v>9.1050000000000004</v>
      </c>
      <c r="H19" s="120">
        <f t="shared" si="23"/>
        <v>0</v>
      </c>
      <c r="I19" s="120">
        <f>I25</f>
        <v>227</v>
      </c>
      <c r="J19" s="120">
        <f t="shared" si="18"/>
        <v>0</v>
      </c>
      <c r="K19" s="120">
        <f t="shared" si="19"/>
        <v>0</v>
      </c>
      <c r="L19" s="120">
        <f t="shared" si="20"/>
        <v>0</v>
      </c>
      <c r="M19" s="120">
        <f t="shared" si="21"/>
        <v>0</v>
      </c>
      <c r="N19" s="120">
        <f t="shared" si="22"/>
        <v>0</v>
      </c>
      <c r="O19" s="120">
        <f t="shared" ref="O19:R19" si="24">O25</f>
        <v>0</v>
      </c>
      <c r="P19" s="120">
        <f t="shared" si="24"/>
        <v>0</v>
      </c>
      <c r="Q19" s="120">
        <f t="shared" si="24"/>
        <v>0</v>
      </c>
      <c r="R19" s="120">
        <f t="shared" si="24"/>
        <v>0</v>
      </c>
      <c r="S19" s="120">
        <f>S25</f>
        <v>0</v>
      </c>
      <c r="T19" s="120">
        <f t="shared" ref="T19:W19" si="25">T25</f>
        <v>0</v>
      </c>
      <c r="U19" s="120">
        <f t="shared" si="25"/>
        <v>0</v>
      </c>
      <c r="V19" s="120">
        <f t="shared" si="25"/>
        <v>0</v>
      </c>
      <c r="W19" s="120">
        <f t="shared" si="25"/>
        <v>0</v>
      </c>
      <c r="X19" s="120">
        <f>X25</f>
        <v>0</v>
      </c>
      <c r="Y19" s="120">
        <f t="shared" ref="Y19:AB19" si="26">Y25</f>
        <v>0</v>
      </c>
      <c r="Z19" s="120">
        <f t="shared" si="26"/>
        <v>0</v>
      </c>
      <c r="AA19" s="120">
        <f t="shared" si="26"/>
        <v>0</v>
      </c>
      <c r="AB19" s="120">
        <f t="shared" si="26"/>
        <v>0</v>
      </c>
      <c r="AC19" s="120">
        <f>AC25</f>
        <v>0</v>
      </c>
      <c r="AD19" s="120">
        <f t="shared" ref="AD19:AG19" si="27">AD25</f>
        <v>0</v>
      </c>
      <c r="AE19" s="120">
        <f t="shared" si="27"/>
        <v>0</v>
      </c>
      <c r="AF19" s="120">
        <f t="shared" si="27"/>
        <v>0</v>
      </c>
      <c r="AG19" s="120">
        <f t="shared" si="27"/>
        <v>0</v>
      </c>
      <c r="AH19" s="120">
        <f>AH25</f>
        <v>0</v>
      </c>
    </row>
    <row r="20" spans="1:34" ht="45">
      <c r="A20" s="87" t="s">
        <v>390</v>
      </c>
      <c r="B20" s="88" t="s">
        <v>391</v>
      </c>
      <c r="C20" s="101" t="s">
        <v>385</v>
      </c>
      <c r="D20" s="101" t="s">
        <v>385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120">
        <f t="shared" si="18"/>
        <v>0</v>
      </c>
      <c r="K20" s="120">
        <f t="shared" si="19"/>
        <v>0</v>
      </c>
      <c r="L20" s="120">
        <f t="shared" si="20"/>
        <v>0</v>
      </c>
      <c r="M20" s="120">
        <f t="shared" si="21"/>
        <v>0</v>
      </c>
      <c r="N20" s="120">
        <f t="shared" si="22"/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</row>
    <row r="21" spans="1:34" ht="30">
      <c r="A21" s="87" t="s">
        <v>392</v>
      </c>
      <c r="B21" s="86" t="s">
        <v>393</v>
      </c>
      <c r="C21" s="101" t="s">
        <v>385</v>
      </c>
      <c r="D21" s="101" t="s">
        <v>385</v>
      </c>
      <c r="E21" s="5">
        <f t="shared" ref="E21:H21" si="28">E39</f>
        <v>0.16</v>
      </c>
      <c r="F21" s="5">
        <f t="shared" si="28"/>
        <v>0</v>
      </c>
      <c r="G21" s="5">
        <f t="shared" si="28"/>
        <v>4.0199999999999996</v>
      </c>
      <c r="H21" s="5">
        <f t="shared" si="28"/>
        <v>0</v>
      </c>
      <c r="I21" s="5">
        <f>I39</f>
        <v>0</v>
      </c>
      <c r="J21" s="120">
        <f t="shared" si="18"/>
        <v>0</v>
      </c>
      <c r="K21" s="120">
        <f t="shared" si="19"/>
        <v>0</v>
      </c>
      <c r="L21" s="120">
        <f t="shared" si="20"/>
        <v>0</v>
      </c>
      <c r="M21" s="120">
        <f t="shared" si="21"/>
        <v>0</v>
      </c>
      <c r="N21" s="120">
        <f t="shared" si="22"/>
        <v>0</v>
      </c>
      <c r="O21" s="5">
        <f t="shared" ref="O21:R21" si="29">O39</f>
        <v>0</v>
      </c>
      <c r="P21" s="5">
        <f t="shared" si="29"/>
        <v>0</v>
      </c>
      <c r="Q21" s="5">
        <f t="shared" si="29"/>
        <v>0</v>
      </c>
      <c r="R21" s="5">
        <f t="shared" si="29"/>
        <v>0</v>
      </c>
      <c r="S21" s="5">
        <f>S39</f>
        <v>0</v>
      </c>
      <c r="T21" s="5">
        <f t="shared" ref="T21:W21" si="30">T39</f>
        <v>0</v>
      </c>
      <c r="U21" s="5">
        <f t="shared" si="30"/>
        <v>0</v>
      </c>
      <c r="V21" s="5">
        <f t="shared" si="30"/>
        <v>0</v>
      </c>
      <c r="W21" s="5">
        <f t="shared" si="30"/>
        <v>0</v>
      </c>
      <c r="X21" s="5">
        <f>X39</f>
        <v>0</v>
      </c>
      <c r="Y21" s="5">
        <f t="shared" ref="Y21:AB21" si="31">Y39</f>
        <v>0</v>
      </c>
      <c r="Z21" s="5">
        <f t="shared" si="31"/>
        <v>0</v>
      </c>
      <c r="AA21" s="5">
        <f t="shared" si="31"/>
        <v>0</v>
      </c>
      <c r="AB21" s="5">
        <f t="shared" si="31"/>
        <v>0</v>
      </c>
      <c r="AC21" s="5">
        <f>AC39</f>
        <v>0</v>
      </c>
      <c r="AD21" s="5">
        <f t="shared" ref="AD21:AG21" si="32">AD39</f>
        <v>0</v>
      </c>
      <c r="AE21" s="5">
        <f t="shared" si="32"/>
        <v>0</v>
      </c>
      <c r="AF21" s="5">
        <f t="shared" si="32"/>
        <v>0</v>
      </c>
      <c r="AG21" s="5">
        <f t="shared" si="32"/>
        <v>0</v>
      </c>
      <c r="AH21" s="5">
        <f>AH39</f>
        <v>0</v>
      </c>
    </row>
    <row r="22" spans="1:34" ht="30">
      <c r="A22" s="87" t="s">
        <v>394</v>
      </c>
      <c r="B22" s="86" t="s">
        <v>395</v>
      </c>
      <c r="C22" s="101" t="s">
        <v>385</v>
      </c>
      <c r="D22" s="101" t="s">
        <v>385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20">
        <f t="shared" si="18"/>
        <v>0</v>
      </c>
      <c r="K22" s="120">
        <f t="shared" si="19"/>
        <v>0</v>
      </c>
      <c r="L22" s="120">
        <f t="shared" si="20"/>
        <v>0</v>
      </c>
      <c r="M22" s="120">
        <f t="shared" si="21"/>
        <v>0</v>
      </c>
      <c r="N22" s="120">
        <f t="shared" si="22"/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</row>
    <row r="23" spans="1:34" ht="15.75">
      <c r="A23" s="87" t="s">
        <v>396</v>
      </c>
      <c r="B23" s="86" t="s">
        <v>397</v>
      </c>
      <c r="C23" s="101" t="s">
        <v>385</v>
      </c>
      <c r="D23" s="101" t="s">
        <v>385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20">
        <f t="shared" si="18"/>
        <v>0</v>
      </c>
      <c r="K23" s="120">
        <f t="shared" si="19"/>
        <v>0</v>
      </c>
      <c r="L23" s="120">
        <f t="shared" si="20"/>
        <v>0</v>
      </c>
      <c r="M23" s="120">
        <f t="shared" si="21"/>
        <v>0</v>
      </c>
      <c r="N23" s="120">
        <f t="shared" si="22"/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</row>
    <row r="24" spans="1:34" ht="15.75">
      <c r="A24" s="89" t="s">
        <v>398</v>
      </c>
      <c r="B24" s="90" t="s">
        <v>399</v>
      </c>
      <c r="C24" s="101" t="s">
        <v>385</v>
      </c>
      <c r="D24" s="101" t="s">
        <v>385</v>
      </c>
      <c r="E24" s="5">
        <f t="shared" ref="E24:H24" si="33">E25+E39</f>
        <v>0.16</v>
      </c>
      <c r="F24" s="5">
        <f t="shared" si="33"/>
        <v>0</v>
      </c>
      <c r="G24" s="5">
        <f t="shared" si="33"/>
        <v>13.125</v>
      </c>
      <c r="H24" s="5">
        <f t="shared" si="33"/>
        <v>0</v>
      </c>
      <c r="I24" s="5">
        <f>I25+I39</f>
        <v>227</v>
      </c>
      <c r="J24" s="120">
        <f t="shared" si="18"/>
        <v>0</v>
      </c>
      <c r="K24" s="120">
        <f t="shared" si="19"/>
        <v>0</v>
      </c>
      <c r="L24" s="120">
        <f t="shared" si="20"/>
        <v>0</v>
      </c>
      <c r="M24" s="120">
        <f t="shared" si="21"/>
        <v>0</v>
      </c>
      <c r="N24" s="120">
        <f t="shared" si="22"/>
        <v>0</v>
      </c>
      <c r="O24" s="5">
        <f t="shared" ref="O24" si="34">O25+O39</f>
        <v>0</v>
      </c>
      <c r="P24" s="5">
        <f t="shared" ref="P24" si="35">P25+P39</f>
        <v>0</v>
      </c>
      <c r="Q24" s="5">
        <f t="shared" ref="Q24" si="36">Q25+Q39</f>
        <v>0</v>
      </c>
      <c r="R24" s="5">
        <f t="shared" ref="R24" si="37">R25+R39</f>
        <v>0</v>
      </c>
      <c r="S24" s="5">
        <f>S25+S39</f>
        <v>0</v>
      </c>
      <c r="T24" s="5">
        <f t="shared" ref="T24" si="38">T25+T39</f>
        <v>0</v>
      </c>
      <c r="U24" s="5">
        <f t="shared" ref="U24" si="39">U25+U39</f>
        <v>0</v>
      </c>
      <c r="V24" s="5">
        <f t="shared" ref="V24" si="40">V25+V39</f>
        <v>0</v>
      </c>
      <c r="W24" s="5">
        <f t="shared" ref="W24" si="41">W25+W39</f>
        <v>0</v>
      </c>
      <c r="X24" s="5">
        <f>X25+X39</f>
        <v>0</v>
      </c>
      <c r="Y24" s="5">
        <f t="shared" ref="Y24" si="42">Y25+Y39</f>
        <v>0</v>
      </c>
      <c r="Z24" s="5">
        <f t="shared" ref="Z24" si="43">Z25+Z39</f>
        <v>0</v>
      </c>
      <c r="AA24" s="5">
        <f t="shared" ref="AA24" si="44">AA25+AA39</f>
        <v>0</v>
      </c>
      <c r="AB24" s="5">
        <f t="shared" ref="AB24" si="45">AB25+AB39</f>
        <v>0</v>
      </c>
      <c r="AC24" s="5">
        <f>AC25+AC39</f>
        <v>0</v>
      </c>
      <c r="AD24" s="5">
        <f t="shared" ref="AD24" si="46">AD25+AD39</f>
        <v>0</v>
      </c>
      <c r="AE24" s="5">
        <f t="shared" ref="AE24" si="47">AE25+AE39</f>
        <v>0</v>
      </c>
      <c r="AF24" s="5">
        <f t="shared" ref="AF24" si="48">AF25+AF39</f>
        <v>0</v>
      </c>
      <c r="AG24" s="5">
        <f t="shared" ref="AG24" si="49">AG25+AG39</f>
        <v>0</v>
      </c>
      <c r="AH24" s="5">
        <f>AH25+AH39</f>
        <v>0</v>
      </c>
    </row>
    <row r="25" spans="1:34" ht="28.5">
      <c r="A25" s="89" t="s">
        <v>400</v>
      </c>
      <c r="B25" s="90" t="s">
        <v>401</v>
      </c>
      <c r="C25" s="101" t="s">
        <v>385</v>
      </c>
      <c r="D25" s="101" t="s">
        <v>385</v>
      </c>
      <c r="E25" s="5">
        <f t="shared" ref="E25:H25" si="50">E26+E28+E35</f>
        <v>0</v>
      </c>
      <c r="F25" s="5">
        <f t="shared" si="50"/>
        <v>0</v>
      </c>
      <c r="G25" s="5">
        <f t="shared" si="50"/>
        <v>9.1050000000000004</v>
      </c>
      <c r="H25" s="5">
        <f t="shared" si="50"/>
        <v>0</v>
      </c>
      <c r="I25" s="5">
        <f>I26+I28+I35</f>
        <v>227</v>
      </c>
      <c r="J25" s="120">
        <f t="shared" si="18"/>
        <v>0</v>
      </c>
      <c r="K25" s="120">
        <f t="shared" si="19"/>
        <v>0</v>
      </c>
      <c r="L25" s="120">
        <f t="shared" si="20"/>
        <v>0</v>
      </c>
      <c r="M25" s="120">
        <f t="shared" si="21"/>
        <v>0</v>
      </c>
      <c r="N25" s="120">
        <f t="shared" si="22"/>
        <v>0</v>
      </c>
      <c r="O25" s="5">
        <f t="shared" ref="O25" si="51">O26+O28+O35</f>
        <v>0</v>
      </c>
      <c r="P25" s="5">
        <f t="shared" ref="P25" si="52">P26+P28+P35</f>
        <v>0</v>
      </c>
      <c r="Q25" s="5">
        <f t="shared" ref="Q25" si="53">Q26+Q28+Q35</f>
        <v>0</v>
      </c>
      <c r="R25" s="5">
        <f t="shared" ref="R25" si="54">R26+R28+R35</f>
        <v>0</v>
      </c>
      <c r="S25" s="5">
        <f>S26+S28+S35</f>
        <v>0</v>
      </c>
      <c r="T25" s="5">
        <f t="shared" ref="T25" si="55">T26+T28+T35</f>
        <v>0</v>
      </c>
      <c r="U25" s="5">
        <f t="shared" ref="U25" si="56">U26+U28+U35</f>
        <v>0</v>
      </c>
      <c r="V25" s="5">
        <f t="shared" ref="V25" si="57">V26+V28+V35</f>
        <v>0</v>
      </c>
      <c r="W25" s="5">
        <f t="shared" ref="W25" si="58">W26+W28+W35</f>
        <v>0</v>
      </c>
      <c r="X25" s="5">
        <f>X26+X28+X35</f>
        <v>0</v>
      </c>
      <c r="Y25" s="5">
        <f t="shared" ref="Y25" si="59">Y26+Y28+Y35</f>
        <v>0</v>
      </c>
      <c r="Z25" s="5">
        <f t="shared" ref="Z25" si="60">Z26+Z28+Z35</f>
        <v>0</v>
      </c>
      <c r="AA25" s="5">
        <f t="shared" ref="AA25" si="61">AA26+AA28+AA35</f>
        <v>0</v>
      </c>
      <c r="AB25" s="5">
        <f t="shared" ref="AB25" si="62">AB26+AB28+AB35</f>
        <v>0</v>
      </c>
      <c r="AC25" s="5">
        <f>AC26+AC28+AC35</f>
        <v>0</v>
      </c>
      <c r="AD25" s="5">
        <f t="shared" ref="AD25" si="63">AD26+AD28+AD35</f>
        <v>0</v>
      </c>
      <c r="AE25" s="5">
        <f t="shared" ref="AE25" si="64">AE26+AE28+AE35</f>
        <v>0</v>
      </c>
      <c r="AF25" s="5">
        <f t="shared" ref="AF25" si="65">AF26+AF28+AF35</f>
        <v>0</v>
      </c>
      <c r="AG25" s="5">
        <f t="shared" ref="AG25" si="66">AG26+AG28+AG35</f>
        <v>0</v>
      </c>
      <c r="AH25" s="5">
        <f>AH26+AH28+AH35</f>
        <v>0</v>
      </c>
    </row>
    <row r="26" spans="1:34" ht="60">
      <c r="A26" s="89" t="s">
        <v>402</v>
      </c>
      <c r="B26" s="86" t="s">
        <v>403</v>
      </c>
      <c r="C26" s="101" t="s">
        <v>385</v>
      </c>
      <c r="D26" s="101" t="s">
        <v>385</v>
      </c>
      <c r="E26" s="5">
        <f t="shared" ref="E26:H26" si="67">E27</f>
        <v>0</v>
      </c>
      <c r="F26" s="5">
        <f t="shared" si="67"/>
        <v>0</v>
      </c>
      <c r="G26" s="5">
        <f t="shared" si="67"/>
        <v>0</v>
      </c>
      <c r="H26" s="5">
        <f t="shared" si="67"/>
        <v>0</v>
      </c>
      <c r="I26" s="5">
        <f>I27</f>
        <v>0</v>
      </c>
      <c r="J26" s="120">
        <f t="shared" si="18"/>
        <v>0</v>
      </c>
      <c r="K26" s="120">
        <f t="shared" si="19"/>
        <v>0</v>
      </c>
      <c r="L26" s="120">
        <f t="shared" si="20"/>
        <v>0</v>
      </c>
      <c r="M26" s="120">
        <f t="shared" si="21"/>
        <v>0</v>
      </c>
      <c r="N26" s="120">
        <f t="shared" si="22"/>
        <v>0</v>
      </c>
      <c r="O26" s="5">
        <f t="shared" ref="O26" si="68">O27</f>
        <v>0</v>
      </c>
      <c r="P26" s="5">
        <f t="shared" ref="P26" si="69">P27</f>
        <v>0</v>
      </c>
      <c r="Q26" s="5">
        <f t="shared" ref="Q26" si="70">Q27</f>
        <v>0</v>
      </c>
      <c r="R26" s="5">
        <f t="shared" ref="R26" si="71">R27</f>
        <v>0</v>
      </c>
      <c r="S26" s="5">
        <f>S27</f>
        <v>0</v>
      </c>
      <c r="T26" s="5">
        <f t="shared" ref="T26" si="72">T27</f>
        <v>0</v>
      </c>
      <c r="U26" s="5">
        <f t="shared" ref="U26" si="73">U27</f>
        <v>0</v>
      </c>
      <c r="V26" s="5">
        <f t="shared" ref="V26" si="74">V27</f>
        <v>0</v>
      </c>
      <c r="W26" s="5">
        <f t="shared" ref="W26" si="75">W27</f>
        <v>0</v>
      </c>
      <c r="X26" s="5">
        <f>X27</f>
        <v>0</v>
      </c>
      <c r="Y26" s="5">
        <f t="shared" ref="Y26" si="76">Y27</f>
        <v>0</v>
      </c>
      <c r="Z26" s="5">
        <f t="shared" ref="Z26" si="77">Z27</f>
        <v>0</v>
      </c>
      <c r="AA26" s="5">
        <f t="shared" ref="AA26" si="78">AA27</f>
        <v>0</v>
      </c>
      <c r="AB26" s="5">
        <f t="shared" ref="AB26" si="79">AB27</f>
        <v>0</v>
      </c>
      <c r="AC26" s="5">
        <f>AC27</f>
        <v>0</v>
      </c>
      <c r="AD26" s="5">
        <f t="shared" ref="AD26" si="80">AD27</f>
        <v>0</v>
      </c>
      <c r="AE26" s="5">
        <f t="shared" ref="AE26" si="81">AE27</f>
        <v>0</v>
      </c>
      <c r="AF26" s="5">
        <f t="shared" ref="AF26" si="82">AF27</f>
        <v>0</v>
      </c>
      <c r="AG26" s="5">
        <f t="shared" ref="AG26" si="83">AG27</f>
        <v>0</v>
      </c>
      <c r="AH26" s="5">
        <f>AH27</f>
        <v>0</v>
      </c>
    </row>
    <row r="27" spans="1:34" ht="30">
      <c r="A27" s="87" t="s">
        <v>404</v>
      </c>
      <c r="B27" s="86" t="s">
        <v>405</v>
      </c>
      <c r="C27" s="101" t="s">
        <v>385</v>
      </c>
      <c r="D27" s="101" t="s">
        <v>385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20">
        <f t="shared" si="18"/>
        <v>0</v>
      </c>
      <c r="K27" s="120">
        <f t="shared" si="19"/>
        <v>0</v>
      </c>
      <c r="L27" s="120">
        <f t="shared" si="20"/>
        <v>0</v>
      </c>
      <c r="M27" s="120">
        <f t="shared" si="21"/>
        <v>0</v>
      </c>
      <c r="N27" s="120">
        <f t="shared" si="22"/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</row>
    <row r="28" spans="1:34" ht="45">
      <c r="A28" s="89" t="s">
        <v>406</v>
      </c>
      <c r="B28" s="86" t="s">
        <v>407</v>
      </c>
      <c r="C28" s="101" t="s">
        <v>385</v>
      </c>
      <c r="D28" s="101" t="s">
        <v>385</v>
      </c>
      <c r="E28" s="5">
        <f t="shared" ref="E28:H28" si="84">E29+E33</f>
        <v>0</v>
      </c>
      <c r="F28" s="5">
        <f t="shared" si="84"/>
        <v>0</v>
      </c>
      <c r="G28" s="5">
        <f t="shared" si="84"/>
        <v>9.1050000000000004</v>
      </c>
      <c r="H28" s="5">
        <f t="shared" si="84"/>
        <v>0</v>
      </c>
      <c r="I28" s="5">
        <f>I29+I33</f>
        <v>0</v>
      </c>
      <c r="J28" s="120">
        <f t="shared" si="18"/>
        <v>0</v>
      </c>
      <c r="K28" s="120">
        <f t="shared" si="19"/>
        <v>0</v>
      </c>
      <c r="L28" s="120">
        <f t="shared" si="20"/>
        <v>0</v>
      </c>
      <c r="M28" s="120">
        <f t="shared" si="21"/>
        <v>0</v>
      </c>
      <c r="N28" s="120">
        <f t="shared" si="22"/>
        <v>0</v>
      </c>
      <c r="O28" s="5">
        <f t="shared" ref="O28" si="85">O29+O33</f>
        <v>0</v>
      </c>
      <c r="P28" s="5">
        <f t="shared" ref="P28" si="86">P29+P33</f>
        <v>0</v>
      </c>
      <c r="Q28" s="5">
        <f t="shared" ref="Q28" si="87">Q29+Q33</f>
        <v>0</v>
      </c>
      <c r="R28" s="5">
        <f t="shared" ref="R28" si="88">R29+R33</f>
        <v>0</v>
      </c>
      <c r="S28" s="5">
        <f>S29+S33</f>
        <v>0</v>
      </c>
      <c r="T28" s="5">
        <f t="shared" ref="T28" si="89">T29+T33</f>
        <v>0</v>
      </c>
      <c r="U28" s="5">
        <f t="shared" ref="U28" si="90">U29+U33</f>
        <v>0</v>
      </c>
      <c r="V28" s="5">
        <f t="shared" ref="V28" si="91">V29+V33</f>
        <v>0</v>
      </c>
      <c r="W28" s="5">
        <f t="shared" ref="W28" si="92">W29+W33</f>
        <v>0</v>
      </c>
      <c r="X28" s="5">
        <f>X29+X33</f>
        <v>0</v>
      </c>
      <c r="Y28" s="5">
        <f t="shared" ref="Y28" si="93">Y29+Y33</f>
        <v>0</v>
      </c>
      <c r="Z28" s="5">
        <f t="shared" ref="Z28" si="94">Z29+Z33</f>
        <v>0</v>
      </c>
      <c r="AA28" s="5">
        <f t="shared" ref="AA28" si="95">AA29+AA33</f>
        <v>0</v>
      </c>
      <c r="AB28" s="5">
        <f t="shared" ref="AB28" si="96">AB29+AB33</f>
        <v>0</v>
      </c>
      <c r="AC28" s="5">
        <f>AC29+AC33</f>
        <v>0</v>
      </c>
      <c r="AD28" s="5">
        <f t="shared" ref="AD28" si="97">AD29+AD33</f>
        <v>0</v>
      </c>
      <c r="AE28" s="5">
        <f t="shared" ref="AE28" si="98">AE29+AE33</f>
        <v>0</v>
      </c>
      <c r="AF28" s="5">
        <f t="shared" ref="AF28" si="99">AF29+AF33</f>
        <v>0</v>
      </c>
      <c r="AG28" s="5">
        <f t="shared" ref="AG28" si="100">AG29+AG33</f>
        <v>0</v>
      </c>
      <c r="AH28" s="5">
        <f>AH29+AH33</f>
        <v>0</v>
      </c>
    </row>
    <row r="29" spans="1:34" ht="30">
      <c r="A29" s="87" t="s">
        <v>408</v>
      </c>
      <c r="B29" s="86" t="s">
        <v>409</v>
      </c>
      <c r="C29" s="101" t="s">
        <v>385</v>
      </c>
      <c r="D29" s="101" t="s">
        <v>385</v>
      </c>
      <c r="E29" s="115">
        <f t="shared" ref="E29:F29" si="101">E31+E32+E30</f>
        <v>0</v>
      </c>
      <c r="F29" s="115">
        <f t="shared" si="101"/>
        <v>0</v>
      </c>
      <c r="G29" s="115">
        <f>G31+G32+G30</f>
        <v>7.6050000000000004</v>
      </c>
      <c r="H29" s="115">
        <f t="shared" ref="H29:I29" si="102">H31+H32+H30</f>
        <v>0</v>
      </c>
      <c r="I29" s="115">
        <f t="shared" si="102"/>
        <v>0</v>
      </c>
      <c r="J29" s="120">
        <f t="shared" si="18"/>
        <v>0</v>
      </c>
      <c r="K29" s="120">
        <f t="shared" si="19"/>
        <v>0</v>
      </c>
      <c r="L29" s="120">
        <f t="shared" si="20"/>
        <v>0</v>
      </c>
      <c r="M29" s="120">
        <f t="shared" si="21"/>
        <v>0</v>
      </c>
      <c r="N29" s="120">
        <f t="shared" si="22"/>
        <v>0</v>
      </c>
      <c r="O29" s="115">
        <f t="shared" ref="O29:AB29" si="103">O31+O32+O30</f>
        <v>0</v>
      </c>
      <c r="P29" s="115">
        <f t="shared" si="103"/>
        <v>0</v>
      </c>
      <c r="Q29" s="115">
        <f t="shared" si="103"/>
        <v>0</v>
      </c>
      <c r="R29" s="115">
        <f t="shared" si="103"/>
        <v>0</v>
      </c>
      <c r="S29" s="115">
        <f t="shared" si="103"/>
        <v>0</v>
      </c>
      <c r="T29" s="115">
        <f t="shared" si="103"/>
        <v>0</v>
      </c>
      <c r="U29" s="115">
        <f t="shared" si="103"/>
        <v>0</v>
      </c>
      <c r="V29" s="115">
        <f t="shared" si="103"/>
        <v>0</v>
      </c>
      <c r="W29" s="115">
        <f t="shared" si="103"/>
        <v>0</v>
      </c>
      <c r="X29" s="115">
        <f t="shared" si="103"/>
        <v>0</v>
      </c>
      <c r="Y29" s="115">
        <f t="shared" si="103"/>
        <v>0</v>
      </c>
      <c r="Z29" s="115">
        <f t="shared" si="103"/>
        <v>0</v>
      </c>
      <c r="AA29" s="115">
        <f t="shared" si="103"/>
        <v>0</v>
      </c>
      <c r="AB29" s="115">
        <f t="shared" si="103"/>
        <v>0</v>
      </c>
      <c r="AC29" s="115">
        <f t="shared" ref="AC29" si="104">AC31+AC32+AC30</f>
        <v>0</v>
      </c>
      <c r="AD29" s="115">
        <f t="shared" ref="AD29" si="105">AD31+AD32+AD30</f>
        <v>0</v>
      </c>
      <c r="AE29" s="115">
        <f t="shared" ref="AE29" si="106">AE31+AE32+AE30</f>
        <v>0</v>
      </c>
      <c r="AF29" s="115">
        <f t="shared" ref="AF29" si="107">AF31+AF32+AF30</f>
        <v>0</v>
      </c>
      <c r="AG29" s="115">
        <f t="shared" ref="AG29" si="108">AG31+AG32+AG30</f>
        <v>0</v>
      </c>
      <c r="AH29" s="115">
        <f t="shared" ref="AH29" si="109">AH31+AH32+AH30</f>
        <v>0</v>
      </c>
    </row>
    <row r="30" spans="1:34" ht="45">
      <c r="A30" s="91" t="s">
        <v>410</v>
      </c>
      <c r="B30" s="92" t="s">
        <v>411</v>
      </c>
      <c r="C30" s="102" t="s">
        <v>412</v>
      </c>
      <c r="D30" s="101" t="s">
        <v>385</v>
      </c>
      <c r="E30" s="5">
        <v>0</v>
      </c>
      <c r="F30" s="5">
        <v>0</v>
      </c>
      <c r="G30" s="115">
        <f>'13'!AK31</f>
        <v>1</v>
      </c>
      <c r="H30" s="5">
        <v>0</v>
      </c>
      <c r="I30" s="5">
        <v>0</v>
      </c>
      <c r="J30" s="120">
        <f t="shared" si="18"/>
        <v>0</v>
      </c>
      <c r="K30" s="120">
        <f t="shared" si="19"/>
        <v>0</v>
      </c>
      <c r="L30" s="120">
        <f t="shared" si="20"/>
        <v>0</v>
      </c>
      <c r="M30" s="120">
        <f t="shared" si="21"/>
        <v>0</v>
      </c>
      <c r="N30" s="120">
        <f t="shared" si="22"/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</row>
    <row r="31" spans="1:34" ht="60">
      <c r="A31" s="121" t="s">
        <v>442</v>
      </c>
      <c r="B31" s="122" t="s">
        <v>414</v>
      </c>
      <c r="C31" s="123" t="s">
        <v>308</v>
      </c>
      <c r="D31" s="101" t="s">
        <v>385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20">
        <f t="shared" si="18"/>
        <v>0</v>
      </c>
      <c r="K31" s="120">
        <f t="shared" si="19"/>
        <v>0</v>
      </c>
      <c r="L31" s="120">
        <f t="shared" si="20"/>
        <v>0</v>
      </c>
      <c r="M31" s="120">
        <f t="shared" si="21"/>
        <v>0</v>
      </c>
      <c r="N31" s="120">
        <f t="shared" si="22"/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</row>
    <row r="32" spans="1:34" ht="60">
      <c r="A32" s="91" t="s">
        <v>443</v>
      </c>
      <c r="B32" s="92" t="s">
        <v>416</v>
      </c>
      <c r="C32" s="102" t="s">
        <v>417</v>
      </c>
      <c r="D32" s="101" t="s">
        <v>385</v>
      </c>
      <c r="E32" s="5">
        <v>0</v>
      </c>
      <c r="F32" s="5">
        <v>0</v>
      </c>
      <c r="G32" s="5">
        <f>'13'!AK33</f>
        <v>6.6050000000000004</v>
      </c>
      <c r="H32" s="5">
        <v>0</v>
      </c>
      <c r="I32" s="5">
        <v>0</v>
      </c>
      <c r="J32" s="120">
        <f t="shared" si="18"/>
        <v>0</v>
      </c>
      <c r="K32" s="120">
        <f t="shared" si="19"/>
        <v>0</v>
      </c>
      <c r="L32" s="120">
        <f t="shared" si="20"/>
        <v>0</v>
      </c>
      <c r="M32" s="120">
        <f t="shared" si="21"/>
        <v>0</v>
      </c>
      <c r="N32" s="120">
        <f t="shared" si="22"/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</row>
    <row r="33" spans="1:34" ht="31.5">
      <c r="A33" s="114" t="s">
        <v>418</v>
      </c>
      <c r="B33" s="105" t="s">
        <v>419</v>
      </c>
      <c r="C33" s="103" t="s">
        <v>385</v>
      </c>
      <c r="D33" s="101" t="s">
        <v>385</v>
      </c>
      <c r="E33" s="5">
        <f t="shared" ref="E33:H33" si="110">E34</f>
        <v>0</v>
      </c>
      <c r="F33" s="5">
        <f t="shared" si="110"/>
        <v>0</v>
      </c>
      <c r="G33" s="115">
        <f t="shared" si="110"/>
        <v>1.5</v>
      </c>
      <c r="H33" s="5">
        <f t="shared" si="110"/>
        <v>0</v>
      </c>
      <c r="I33" s="5">
        <f>I34</f>
        <v>0</v>
      </c>
      <c r="J33" s="120">
        <f t="shared" si="18"/>
        <v>0</v>
      </c>
      <c r="K33" s="120">
        <f t="shared" si="19"/>
        <v>0</v>
      </c>
      <c r="L33" s="120">
        <f t="shared" si="20"/>
        <v>0</v>
      </c>
      <c r="M33" s="120">
        <f t="shared" si="21"/>
        <v>0</v>
      </c>
      <c r="N33" s="120">
        <f t="shared" si="22"/>
        <v>0</v>
      </c>
      <c r="O33" s="5">
        <f t="shared" ref="O33" si="111">O34</f>
        <v>0</v>
      </c>
      <c r="P33" s="5">
        <f t="shared" ref="P33" si="112">P34</f>
        <v>0</v>
      </c>
      <c r="Q33" s="5">
        <f t="shared" ref="Q33" si="113">Q34</f>
        <v>0</v>
      </c>
      <c r="R33" s="5">
        <f t="shared" ref="R33" si="114">R34</f>
        <v>0</v>
      </c>
      <c r="S33" s="5">
        <f>S34</f>
        <v>0</v>
      </c>
      <c r="T33" s="5">
        <f t="shared" ref="T33" si="115">T34</f>
        <v>0</v>
      </c>
      <c r="U33" s="5">
        <f t="shared" ref="U33" si="116">U34</f>
        <v>0</v>
      </c>
      <c r="V33" s="5">
        <f t="shared" ref="V33" si="117">V34</f>
        <v>0</v>
      </c>
      <c r="W33" s="5">
        <f t="shared" ref="W33" si="118">W34</f>
        <v>0</v>
      </c>
      <c r="X33" s="5">
        <f>X34</f>
        <v>0</v>
      </c>
      <c r="Y33" s="5">
        <f t="shared" ref="Y33" si="119">Y34</f>
        <v>0</v>
      </c>
      <c r="Z33" s="5">
        <f t="shared" ref="Z33" si="120">Z34</f>
        <v>0</v>
      </c>
      <c r="AA33" s="5">
        <f t="shared" ref="AA33" si="121">AA34</f>
        <v>0</v>
      </c>
      <c r="AB33" s="5">
        <f t="shared" ref="AB33" si="122">AB34</f>
        <v>0</v>
      </c>
      <c r="AC33" s="5">
        <f>AC34</f>
        <v>0</v>
      </c>
      <c r="AD33" s="5">
        <f t="shared" ref="AD33" si="123">AD34</f>
        <v>0</v>
      </c>
      <c r="AE33" s="5">
        <f t="shared" ref="AE33" si="124">AE34</f>
        <v>0</v>
      </c>
      <c r="AF33" s="5">
        <f t="shared" ref="AF33" si="125">AF34</f>
        <v>0</v>
      </c>
      <c r="AG33" s="5">
        <f t="shared" ref="AG33" si="126">AG34</f>
        <v>0</v>
      </c>
      <c r="AH33" s="5">
        <f>AH34</f>
        <v>0</v>
      </c>
    </row>
    <row r="34" spans="1:34" ht="47.25">
      <c r="A34" s="93" t="s">
        <v>420</v>
      </c>
      <c r="B34" s="94" t="s">
        <v>421</v>
      </c>
      <c r="C34" s="103" t="s">
        <v>422</v>
      </c>
      <c r="D34" s="101" t="s">
        <v>385</v>
      </c>
      <c r="E34" s="5">
        <v>0</v>
      </c>
      <c r="F34" s="5">
        <v>0</v>
      </c>
      <c r="G34" s="115">
        <f>'13'!AK35</f>
        <v>1.5</v>
      </c>
      <c r="H34" s="5">
        <v>0</v>
      </c>
      <c r="I34" s="5">
        <v>0</v>
      </c>
      <c r="J34" s="120">
        <f t="shared" si="18"/>
        <v>0</v>
      </c>
      <c r="K34" s="120">
        <f t="shared" si="19"/>
        <v>0</v>
      </c>
      <c r="L34" s="120">
        <f t="shared" si="20"/>
        <v>0</v>
      </c>
      <c r="M34" s="120">
        <f t="shared" si="21"/>
        <v>0</v>
      </c>
      <c r="N34" s="120">
        <f t="shared" si="22"/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</row>
    <row r="35" spans="1:34" ht="42.75">
      <c r="A35" s="89" t="s">
        <v>423</v>
      </c>
      <c r="B35" s="95" t="s">
        <v>424</v>
      </c>
      <c r="C35" s="104" t="s">
        <v>385</v>
      </c>
      <c r="D35" s="101" t="s">
        <v>385</v>
      </c>
      <c r="E35" s="5">
        <f t="shared" ref="E35:I35" si="127">E36</f>
        <v>0</v>
      </c>
      <c r="F35" s="5">
        <f t="shared" si="127"/>
        <v>0</v>
      </c>
      <c r="G35" s="5">
        <f t="shared" si="127"/>
        <v>0</v>
      </c>
      <c r="H35" s="5">
        <f t="shared" si="127"/>
        <v>0</v>
      </c>
      <c r="I35" s="5">
        <f t="shared" si="127"/>
        <v>227</v>
      </c>
      <c r="J35" s="120">
        <f t="shared" si="18"/>
        <v>0</v>
      </c>
      <c r="K35" s="120">
        <f t="shared" si="19"/>
        <v>0</v>
      </c>
      <c r="L35" s="120">
        <f t="shared" si="20"/>
        <v>0</v>
      </c>
      <c r="M35" s="120">
        <f t="shared" si="21"/>
        <v>0</v>
      </c>
      <c r="N35" s="120">
        <f t="shared" si="22"/>
        <v>0</v>
      </c>
      <c r="O35" s="5">
        <f t="shared" ref="O35:AD35" si="128">O36</f>
        <v>0</v>
      </c>
      <c r="P35" s="5">
        <f t="shared" si="128"/>
        <v>0</v>
      </c>
      <c r="Q35" s="5">
        <f t="shared" si="128"/>
        <v>0</v>
      </c>
      <c r="R35" s="5">
        <f t="shared" si="128"/>
        <v>0</v>
      </c>
      <c r="S35" s="5">
        <f t="shared" si="128"/>
        <v>0</v>
      </c>
      <c r="T35" s="5">
        <f t="shared" si="128"/>
        <v>0</v>
      </c>
      <c r="U35" s="5">
        <f t="shared" si="128"/>
        <v>0</v>
      </c>
      <c r="V35" s="5">
        <f t="shared" si="128"/>
        <v>0</v>
      </c>
      <c r="W35" s="5">
        <f t="shared" si="128"/>
        <v>0</v>
      </c>
      <c r="X35" s="5">
        <f t="shared" si="128"/>
        <v>0</v>
      </c>
      <c r="Y35" s="5">
        <f t="shared" si="128"/>
        <v>0</v>
      </c>
      <c r="Z35" s="5">
        <f t="shared" si="128"/>
        <v>0</v>
      </c>
      <c r="AA35" s="5">
        <f t="shared" si="128"/>
        <v>0</v>
      </c>
      <c r="AB35" s="5">
        <f t="shared" si="128"/>
        <v>0</v>
      </c>
      <c r="AC35" s="5">
        <f t="shared" si="128"/>
        <v>0</v>
      </c>
      <c r="AD35" s="5">
        <f t="shared" si="128"/>
        <v>0</v>
      </c>
      <c r="AE35" s="5">
        <f t="shared" ref="AE35:AH35" si="129">AE36</f>
        <v>0</v>
      </c>
      <c r="AF35" s="5">
        <f t="shared" si="129"/>
        <v>0</v>
      </c>
      <c r="AG35" s="5">
        <f t="shared" si="129"/>
        <v>0</v>
      </c>
      <c r="AH35" s="5">
        <f t="shared" si="129"/>
        <v>0</v>
      </c>
    </row>
    <row r="36" spans="1:34" ht="30">
      <c r="A36" s="96" t="s">
        <v>425</v>
      </c>
      <c r="B36" s="97" t="s">
        <v>426</v>
      </c>
      <c r="C36" s="104" t="s">
        <v>385</v>
      </c>
      <c r="D36" s="101" t="s">
        <v>385</v>
      </c>
      <c r="E36" s="5">
        <f>E37+E38</f>
        <v>0</v>
      </c>
      <c r="F36" s="5">
        <f t="shared" ref="F36:I36" si="130">F37+F38</f>
        <v>0</v>
      </c>
      <c r="G36" s="5">
        <f t="shared" si="130"/>
        <v>0</v>
      </c>
      <c r="H36" s="5">
        <f t="shared" si="130"/>
        <v>0</v>
      </c>
      <c r="I36" s="5">
        <f t="shared" si="130"/>
        <v>227</v>
      </c>
      <c r="J36" s="120">
        <f t="shared" si="18"/>
        <v>0</v>
      </c>
      <c r="K36" s="120">
        <f t="shared" si="19"/>
        <v>0</v>
      </c>
      <c r="L36" s="120">
        <f t="shared" si="20"/>
        <v>0</v>
      </c>
      <c r="M36" s="120">
        <f t="shared" si="21"/>
        <v>0</v>
      </c>
      <c r="N36" s="120">
        <f t="shared" si="22"/>
        <v>0</v>
      </c>
      <c r="O36" s="5">
        <f t="shared" ref="O36" si="131">O37+O38</f>
        <v>0</v>
      </c>
      <c r="P36" s="5">
        <f t="shared" ref="P36" si="132">P37+P38</f>
        <v>0</v>
      </c>
      <c r="Q36" s="5">
        <f t="shared" ref="Q36" si="133">Q37+Q38</f>
        <v>0</v>
      </c>
      <c r="R36" s="5">
        <f t="shared" ref="R36" si="134">R37+R38</f>
        <v>0</v>
      </c>
      <c r="S36" s="5">
        <f t="shared" ref="S36" si="135">S37+S38</f>
        <v>0</v>
      </c>
      <c r="T36" s="5">
        <f t="shared" ref="T36" si="136">T37+T38</f>
        <v>0</v>
      </c>
      <c r="U36" s="5">
        <f t="shared" ref="U36" si="137">U37+U38</f>
        <v>0</v>
      </c>
      <c r="V36" s="5">
        <f t="shared" ref="V36" si="138">V37+V38</f>
        <v>0</v>
      </c>
      <c r="W36" s="5">
        <f t="shared" ref="W36" si="139">W37+W38</f>
        <v>0</v>
      </c>
      <c r="X36" s="5">
        <f t="shared" ref="X36" si="140">X37+X38</f>
        <v>0</v>
      </c>
      <c r="Y36" s="5">
        <f t="shared" ref="Y36" si="141">Y37+Y38</f>
        <v>0</v>
      </c>
      <c r="Z36" s="5">
        <f t="shared" ref="Z36" si="142">Z37+Z38</f>
        <v>0</v>
      </c>
      <c r="AA36" s="5">
        <f t="shared" ref="AA36" si="143">AA37+AA38</f>
        <v>0</v>
      </c>
      <c r="AB36" s="5">
        <f t="shared" ref="AB36" si="144">AB37+AB38</f>
        <v>0</v>
      </c>
      <c r="AC36" s="5">
        <f t="shared" ref="AC36" si="145">AC37+AC38</f>
        <v>0</v>
      </c>
      <c r="AD36" s="5">
        <f t="shared" ref="AD36" si="146">AD37+AD38</f>
        <v>0</v>
      </c>
      <c r="AE36" s="5">
        <f t="shared" ref="AE36" si="147">AE37+AE38</f>
        <v>0</v>
      </c>
      <c r="AF36" s="5">
        <f t="shared" ref="AF36" si="148">AF37+AF38</f>
        <v>0</v>
      </c>
      <c r="AG36" s="5">
        <f t="shared" ref="AG36" si="149">AG37+AG38</f>
        <v>0</v>
      </c>
      <c r="AH36" s="5">
        <f t="shared" ref="AH36" si="150">AH37+AH38</f>
        <v>0</v>
      </c>
    </row>
    <row r="37" spans="1:34" ht="30">
      <c r="A37" s="128" t="s">
        <v>427</v>
      </c>
      <c r="B37" s="129" t="s">
        <v>428</v>
      </c>
      <c r="C37" s="130" t="s">
        <v>273</v>
      </c>
      <c r="D37" s="101" t="s">
        <v>385</v>
      </c>
      <c r="E37" s="124">
        <v>0</v>
      </c>
      <c r="F37" s="124">
        <v>0</v>
      </c>
      <c r="G37" s="124">
        <v>0</v>
      </c>
      <c r="H37" s="124">
        <v>0</v>
      </c>
      <c r="I37" s="124">
        <f>'13'!AM38</f>
        <v>227</v>
      </c>
      <c r="J37" s="120">
        <f t="shared" si="18"/>
        <v>0</v>
      </c>
      <c r="K37" s="120">
        <f t="shared" si="19"/>
        <v>0</v>
      </c>
      <c r="L37" s="120">
        <f t="shared" si="20"/>
        <v>0</v>
      </c>
      <c r="M37" s="120">
        <f t="shared" si="21"/>
        <v>0</v>
      </c>
      <c r="N37" s="120">
        <f t="shared" si="22"/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</row>
    <row r="38" spans="1:34" ht="30" customHeight="1">
      <c r="A38" s="128" t="s">
        <v>1063</v>
      </c>
      <c r="B38" s="129" t="s">
        <v>428</v>
      </c>
      <c r="C38" s="130" t="s">
        <v>1123</v>
      </c>
      <c r="D38" s="101" t="s">
        <v>385</v>
      </c>
      <c r="E38" s="124">
        <v>0</v>
      </c>
      <c r="F38" s="124">
        <v>0</v>
      </c>
      <c r="G38" s="124">
        <v>0</v>
      </c>
      <c r="H38" s="124">
        <v>0</v>
      </c>
      <c r="I38" s="124">
        <f>'13'!AM39</f>
        <v>0</v>
      </c>
      <c r="J38" s="120">
        <f t="shared" ref="J38" si="151">O38+T38+Y38+AD38</f>
        <v>0</v>
      </c>
      <c r="K38" s="120">
        <f t="shared" ref="K38" si="152">P38+U38+Z38+AE38</f>
        <v>0</v>
      </c>
      <c r="L38" s="120">
        <f t="shared" ref="L38" si="153">Q38+V38+AA38+AF38</f>
        <v>0</v>
      </c>
      <c r="M38" s="120">
        <f t="shared" ref="M38" si="154">R38+W38+AB38+AG38</f>
        <v>0</v>
      </c>
      <c r="N38" s="120">
        <f t="shared" ref="N38" si="155">S38+X38+AC38+AH38</f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</row>
    <row r="39" spans="1:34" ht="42.75">
      <c r="A39" s="89" t="s">
        <v>429</v>
      </c>
      <c r="B39" s="90" t="s">
        <v>430</v>
      </c>
      <c r="C39" s="101"/>
      <c r="D39" s="101" t="s">
        <v>385</v>
      </c>
      <c r="E39" s="5">
        <f t="shared" ref="E39:H39" si="156">E40+E41+E42</f>
        <v>0.16</v>
      </c>
      <c r="F39" s="5">
        <f t="shared" si="156"/>
        <v>0</v>
      </c>
      <c r="G39" s="5">
        <f t="shared" si="156"/>
        <v>4.0199999999999996</v>
      </c>
      <c r="H39" s="5">
        <f t="shared" si="156"/>
        <v>0</v>
      </c>
      <c r="I39" s="5">
        <f>I40+I41+I42</f>
        <v>0</v>
      </c>
      <c r="J39" s="120">
        <f t="shared" si="18"/>
        <v>0</v>
      </c>
      <c r="K39" s="120">
        <f t="shared" si="19"/>
        <v>0</v>
      </c>
      <c r="L39" s="120">
        <f t="shared" si="20"/>
        <v>0</v>
      </c>
      <c r="M39" s="120">
        <f t="shared" si="21"/>
        <v>0</v>
      </c>
      <c r="N39" s="120">
        <f t="shared" si="22"/>
        <v>0</v>
      </c>
      <c r="O39" s="5">
        <f t="shared" ref="O39" si="157">O40+O41+O42</f>
        <v>0</v>
      </c>
      <c r="P39" s="5">
        <f t="shared" ref="P39" si="158">P40+P41+P42</f>
        <v>0</v>
      </c>
      <c r="Q39" s="5">
        <f t="shared" ref="Q39" si="159">Q40+Q41+Q42</f>
        <v>0</v>
      </c>
      <c r="R39" s="5">
        <f t="shared" ref="R39" si="160">R40+R41+R42</f>
        <v>0</v>
      </c>
      <c r="S39" s="5">
        <f>S40+S41+S42</f>
        <v>0</v>
      </c>
      <c r="T39" s="5">
        <f t="shared" ref="T39" si="161">T40+T41+T42</f>
        <v>0</v>
      </c>
      <c r="U39" s="5">
        <f t="shared" ref="U39" si="162">U40+U41+U42</f>
        <v>0</v>
      </c>
      <c r="V39" s="5">
        <f t="shared" ref="V39" si="163">V40+V41+V42</f>
        <v>0</v>
      </c>
      <c r="W39" s="5">
        <f t="shared" ref="W39" si="164">W40+W41+W42</f>
        <v>0</v>
      </c>
      <c r="X39" s="5">
        <f>X40+X41+X42</f>
        <v>0</v>
      </c>
      <c r="Y39" s="5">
        <f t="shared" ref="Y39" si="165">Y40+Y41+Y42</f>
        <v>0</v>
      </c>
      <c r="Z39" s="5">
        <f t="shared" ref="Z39" si="166">Z40+Z41+Z42</f>
        <v>0</v>
      </c>
      <c r="AA39" s="5">
        <f t="shared" ref="AA39" si="167">AA40+AA41+AA42</f>
        <v>0</v>
      </c>
      <c r="AB39" s="5">
        <f t="shared" ref="AB39" si="168">AB40+AB41+AB42</f>
        <v>0</v>
      </c>
      <c r="AC39" s="5">
        <f>AC40+AC41+AC42</f>
        <v>0</v>
      </c>
      <c r="AD39" s="5">
        <f t="shared" ref="AD39" si="169">AD40+AD41+AD42</f>
        <v>0</v>
      </c>
      <c r="AE39" s="5">
        <f t="shared" ref="AE39" si="170">AE40+AE41+AE42</f>
        <v>0</v>
      </c>
      <c r="AF39" s="5">
        <f t="shared" ref="AF39" si="171">AF40+AF41+AF42</f>
        <v>0</v>
      </c>
      <c r="AG39" s="5">
        <f t="shared" ref="AG39" si="172">AG40+AG41+AG42</f>
        <v>0</v>
      </c>
      <c r="AH39" s="5">
        <f>AH40+AH41+AH42</f>
        <v>0</v>
      </c>
    </row>
    <row r="40" spans="1:34" ht="47.25">
      <c r="A40" s="91" t="s">
        <v>431</v>
      </c>
      <c r="B40" s="99" t="s">
        <v>432</v>
      </c>
      <c r="C40" s="102" t="s">
        <v>433</v>
      </c>
      <c r="D40" s="101" t="s">
        <v>385</v>
      </c>
      <c r="E40" s="5">
        <f>'13'!AI41</f>
        <v>0.16</v>
      </c>
      <c r="F40" s="5">
        <v>0</v>
      </c>
      <c r="G40" s="5">
        <v>0</v>
      </c>
      <c r="H40" s="5">
        <v>0</v>
      </c>
      <c r="I40" s="5">
        <v>0</v>
      </c>
      <c r="J40" s="120">
        <f t="shared" si="18"/>
        <v>0</v>
      </c>
      <c r="K40" s="120">
        <f t="shared" si="19"/>
        <v>0</v>
      </c>
      <c r="L40" s="120">
        <f t="shared" si="20"/>
        <v>0</v>
      </c>
      <c r="M40" s="120">
        <f t="shared" si="21"/>
        <v>0</v>
      </c>
      <c r="N40" s="120">
        <f t="shared" si="22"/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</row>
    <row r="41" spans="1:34" ht="47.25">
      <c r="A41" s="91" t="s">
        <v>444</v>
      </c>
      <c r="B41" s="99" t="s">
        <v>435</v>
      </c>
      <c r="C41" s="102" t="s">
        <v>436</v>
      </c>
      <c r="D41" s="101" t="s">
        <v>385</v>
      </c>
      <c r="E41" s="5">
        <v>0</v>
      </c>
      <c r="F41" s="5">
        <v>0</v>
      </c>
      <c r="G41" s="115">
        <f>'13'!AK42</f>
        <v>0.1</v>
      </c>
      <c r="H41" s="5">
        <v>0</v>
      </c>
      <c r="I41" s="5">
        <v>0</v>
      </c>
      <c r="J41" s="120">
        <f t="shared" si="18"/>
        <v>0</v>
      </c>
      <c r="K41" s="120">
        <f t="shared" si="19"/>
        <v>0</v>
      </c>
      <c r="L41" s="120">
        <f t="shared" si="20"/>
        <v>0</v>
      </c>
      <c r="M41" s="120">
        <f t="shared" si="21"/>
        <v>0</v>
      </c>
      <c r="N41" s="120">
        <f t="shared" si="22"/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</row>
    <row r="42" spans="1:34" ht="47.25">
      <c r="A42" s="91" t="s">
        <v>434</v>
      </c>
      <c r="B42" s="99" t="s">
        <v>438</v>
      </c>
      <c r="C42" s="102" t="s">
        <v>439</v>
      </c>
      <c r="D42" s="101" t="s">
        <v>385</v>
      </c>
      <c r="E42" s="5">
        <v>0</v>
      </c>
      <c r="F42" s="5">
        <v>0</v>
      </c>
      <c r="G42" s="115">
        <f>'13'!AK43</f>
        <v>3.92</v>
      </c>
      <c r="H42" s="5">
        <v>0</v>
      </c>
      <c r="I42" s="5">
        <v>0</v>
      </c>
      <c r="J42" s="120">
        <f t="shared" si="18"/>
        <v>0</v>
      </c>
      <c r="K42" s="120">
        <f t="shared" si="19"/>
        <v>0</v>
      </c>
      <c r="L42" s="120">
        <f t="shared" si="20"/>
        <v>0</v>
      </c>
      <c r="M42" s="120">
        <f t="shared" si="21"/>
        <v>0</v>
      </c>
      <c r="N42" s="120">
        <f t="shared" si="22"/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</row>
    <row r="43" spans="1:34" ht="28.5">
      <c r="A43" s="108"/>
      <c r="B43" s="90" t="s">
        <v>441</v>
      </c>
      <c r="C43" s="101"/>
      <c r="D43" s="101" t="s">
        <v>385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20">
        <f t="shared" si="18"/>
        <v>0</v>
      </c>
      <c r="K43" s="120">
        <f t="shared" si="19"/>
        <v>0</v>
      </c>
      <c r="L43" s="120">
        <f t="shared" si="20"/>
        <v>0</v>
      </c>
      <c r="M43" s="120">
        <f t="shared" si="21"/>
        <v>0</v>
      </c>
      <c r="N43" s="120">
        <f t="shared" si="22"/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</row>
    <row r="44" spans="1:34" s="58" customFormat="1" ht="24.75" customHeight="1">
      <c r="A44" s="373" t="s">
        <v>31</v>
      </c>
      <c r="B44" s="374"/>
      <c r="C44" s="375"/>
      <c r="D44" s="49" t="s">
        <v>284</v>
      </c>
      <c r="E44" s="49" t="s">
        <v>284</v>
      </c>
      <c r="F44" s="49" t="s">
        <v>284</v>
      </c>
      <c r="G44" s="60">
        <f>G17</f>
        <v>13.125</v>
      </c>
      <c r="H44" s="49" t="s">
        <v>284</v>
      </c>
      <c r="I44" s="73">
        <f>I17</f>
        <v>227</v>
      </c>
      <c r="J44" s="57" t="s">
        <v>284</v>
      </c>
      <c r="K44" s="57" t="s">
        <v>284</v>
      </c>
      <c r="L44" s="57" t="s">
        <v>284</v>
      </c>
      <c r="M44" s="57" t="s">
        <v>284</v>
      </c>
      <c r="N44" s="57" t="s">
        <v>284</v>
      </c>
      <c r="O44" s="57" t="s">
        <v>284</v>
      </c>
      <c r="P44" s="57" t="s">
        <v>284</v>
      </c>
      <c r="Q44" s="57" t="s">
        <v>284</v>
      </c>
      <c r="R44" s="57" t="s">
        <v>284</v>
      </c>
      <c r="S44" s="57" t="s">
        <v>284</v>
      </c>
      <c r="T44" s="57" t="s">
        <v>284</v>
      </c>
      <c r="U44" s="57" t="s">
        <v>284</v>
      </c>
      <c r="V44" s="57" t="s">
        <v>284</v>
      </c>
      <c r="W44" s="57" t="s">
        <v>284</v>
      </c>
      <c r="X44" s="49" t="s">
        <v>284</v>
      </c>
      <c r="Y44" s="61" t="s">
        <v>284</v>
      </c>
      <c r="Z44" s="61" t="s">
        <v>284</v>
      </c>
      <c r="AA44" s="61" t="s">
        <v>284</v>
      </c>
      <c r="AB44" s="61" t="s">
        <v>284</v>
      </c>
      <c r="AC44" s="61" t="s">
        <v>284</v>
      </c>
      <c r="AD44" s="61" t="s">
        <v>284</v>
      </c>
      <c r="AE44" s="61" t="s">
        <v>284</v>
      </c>
      <c r="AF44" s="61" t="s">
        <v>284</v>
      </c>
      <c r="AG44" s="61" t="s">
        <v>284</v>
      </c>
      <c r="AH44" s="61" t="s">
        <v>284</v>
      </c>
    </row>
    <row r="45" spans="1:34">
      <c r="A45" s="2"/>
    </row>
    <row r="46" spans="1:34">
      <c r="A46" s="2"/>
    </row>
  </sheetData>
  <mergeCells count="24">
    <mergeCell ref="E12:AH12"/>
    <mergeCell ref="E13:I13"/>
    <mergeCell ref="J13:AH13"/>
    <mergeCell ref="E14:I14"/>
    <mergeCell ref="J14:N14"/>
    <mergeCell ref="O14:S14"/>
    <mergeCell ref="T14:X14"/>
    <mergeCell ref="Y14:AC14"/>
    <mergeCell ref="AD14:AH14"/>
    <mergeCell ref="A44:C44"/>
    <mergeCell ref="A12:A15"/>
    <mergeCell ref="B12:B15"/>
    <mergeCell ref="C12:C15"/>
    <mergeCell ref="D12:D15"/>
    <mergeCell ref="A5:T5"/>
    <mergeCell ref="A4:AH4"/>
    <mergeCell ref="X1:AA1"/>
    <mergeCell ref="X2:AA2"/>
    <mergeCell ref="X3:AA3"/>
    <mergeCell ref="A6:T6"/>
    <mergeCell ref="A7:T7"/>
    <mergeCell ref="A8:T8"/>
    <mergeCell ref="A9:T9"/>
    <mergeCell ref="A10:T10"/>
  </mergeCells>
  <pageMargins left="0.23622047244094491" right="0.1574803149606299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9"/>
  <sheetViews>
    <sheetView topLeftCell="A13" zoomScale="90" zoomScaleNormal="90" workbookViewId="0">
      <selection activeCell="A5" sqref="A5:T5"/>
    </sheetView>
  </sheetViews>
  <sheetFormatPr defaultRowHeight="15"/>
  <cols>
    <col min="1" max="1" width="8.140625" customWidth="1"/>
    <col min="2" max="2" width="41" customWidth="1"/>
    <col min="3" max="3" width="13" customWidth="1"/>
    <col min="4" max="4" width="18.28515625" customWidth="1"/>
    <col min="5" max="5" width="9.5703125" customWidth="1"/>
    <col min="6" max="6" width="9.42578125" customWidth="1"/>
    <col min="7" max="7" width="9.7109375" customWidth="1"/>
    <col min="8" max="8" width="10.140625" customWidth="1"/>
    <col min="12" max="12" width="9.5703125" customWidth="1"/>
    <col min="13" max="15" width="9.85546875" customWidth="1"/>
    <col min="19" max="19" width="9.7109375" customWidth="1"/>
    <col min="20" max="20" width="9.5703125" customWidth="1"/>
    <col min="21" max="21" width="9.85546875" customWidth="1"/>
    <col min="22" max="22" width="9.5703125" customWidth="1"/>
    <col min="23" max="23" width="8.28515625" customWidth="1"/>
    <col min="24" max="24" width="8.5703125" customWidth="1"/>
    <col min="28" max="28" width="9.5703125" customWidth="1"/>
    <col min="29" max="29" width="9.7109375" customWidth="1"/>
    <col min="31" max="31" width="8.5703125" customWidth="1"/>
    <col min="32" max="32" width="8.140625" customWidth="1"/>
    <col min="35" max="35" width="9.7109375" customWidth="1"/>
    <col min="36" max="36" width="9.5703125" customWidth="1"/>
    <col min="38" max="39" width="8.5703125" customWidth="1"/>
    <col min="45" max="45" width="10.28515625" customWidth="1"/>
    <col min="67" max="67" width="9.7109375" customWidth="1"/>
    <col min="68" max="74" width="9.140625" customWidth="1"/>
  </cols>
  <sheetData>
    <row r="1" spans="1:82" ht="24" customHeight="1">
      <c r="AH1" s="362" t="s">
        <v>185</v>
      </c>
      <c r="AI1" s="362"/>
      <c r="AJ1" s="362"/>
      <c r="AK1" s="362"/>
    </row>
    <row r="2" spans="1:82" ht="16.5" customHeight="1">
      <c r="AH2" s="362" t="s">
        <v>19</v>
      </c>
      <c r="AI2" s="362"/>
      <c r="AJ2" s="362"/>
      <c r="AK2" s="362"/>
    </row>
    <row r="3" spans="1:82" ht="18" customHeight="1">
      <c r="AH3" s="362" t="s">
        <v>20</v>
      </c>
      <c r="AI3" s="362"/>
      <c r="AJ3" s="362"/>
      <c r="AK3" s="362"/>
    </row>
    <row r="4" spans="1:82" ht="20.25" customHeight="1">
      <c r="A4" s="352" t="s">
        <v>303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</row>
    <row r="5" spans="1:82" ht="16.5" customHeight="1">
      <c r="A5" s="347" t="s">
        <v>1135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82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45"/>
      <c r="V6" s="45"/>
      <c r="W6" s="45"/>
      <c r="X6" s="45"/>
      <c r="Y6" s="45"/>
      <c r="Z6" s="45"/>
      <c r="AA6" s="45"/>
    </row>
    <row r="7" spans="1:82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44"/>
      <c r="V7" s="44"/>
      <c r="W7" s="44"/>
      <c r="X7" s="44"/>
      <c r="Y7" s="44"/>
      <c r="Z7" s="44"/>
      <c r="AA7" s="44"/>
    </row>
    <row r="8" spans="1:82" ht="23.2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45"/>
      <c r="V8" s="45"/>
      <c r="W8" s="45"/>
      <c r="X8" s="45"/>
      <c r="Y8" s="45"/>
      <c r="Z8" s="45"/>
      <c r="AA8" s="45"/>
    </row>
    <row r="9" spans="1:82" ht="20.25" customHeight="1">
      <c r="A9" s="347" t="s">
        <v>1108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82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44"/>
      <c r="V10" s="44"/>
      <c r="W10" s="44"/>
      <c r="X10" s="44"/>
      <c r="Y10" s="44"/>
      <c r="Z10" s="44"/>
      <c r="AA10" s="44"/>
    </row>
    <row r="11" spans="1:82" ht="18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4"/>
      <c r="V11" s="44"/>
      <c r="W11" s="44"/>
      <c r="X11" s="44"/>
      <c r="Y11" s="44"/>
      <c r="Z11" s="44"/>
      <c r="AA11" s="44"/>
    </row>
    <row r="12" spans="1:82" s="54" customFormat="1" ht="35.25" customHeight="1">
      <c r="A12" s="394" t="s">
        <v>0</v>
      </c>
      <c r="B12" s="394" t="s">
        <v>1</v>
      </c>
      <c r="C12" s="394" t="s">
        <v>2</v>
      </c>
      <c r="D12" s="394" t="s">
        <v>47</v>
      </c>
      <c r="E12" s="384" t="s">
        <v>1125</v>
      </c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385"/>
      <c r="AN12" s="377" t="s">
        <v>1126</v>
      </c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8" t="s">
        <v>187</v>
      </c>
      <c r="BX12" s="387"/>
      <c r="BY12" s="387"/>
      <c r="BZ12" s="387"/>
      <c r="CA12" s="387"/>
      <c r="CB12" s="387"/>
      <c r="CC12" s="379"/>
      <c r="CD12" s="377" t="s">
        <v>25</v>
      </c>
    </row>
    <row r="13" spans="1:82" s="54" customFormat="1">
      <c r="A13" s="399"/>
      <c r="B13" s="399"/>
      <c r="C13" s="399"/>
      <c r="D13" s="399"/>
      <c r="E13" s="392" t="s">
        <v>6</v>
      </c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3"/>
      <c r="AN13" s="377" t="s">
        <v>7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88"/>
      <c r="BX13" s="389"/>
      <c r="BY13" s="389"/>
      <c r="BZ13" s="389"/>
      <c r="CA13" s="389"/>
      <c r="CB13" s="389"/>
      <c r="CC13" s="390"/>
      <c r="CD13" s="377"/>
    </row>
    <row r="14" spans="1:82" s="54" customFormat="1" ht="15" customHeight="1">
      <c r="A14" s="399"/>
      <c r="B14" s="399"/>
      <c r="C14" s="399"/>
      <c r="D14" s="399"/>
      <c r="E14" s="392" t="s">
        <v>109</v>
      </c>
      <c r="F14" s="397"/>
      <c r="G14" s="397"/>
      <c r="H14" s="397"/>
      <c r="I14" s="397"/>
      <c r="J14" s="397"/>
      <c r="K14" s="393"/>
      <c r="L14" s="392" t="s">
        <v>110</v>
      </c>
      <c r="M14" s="397"/>
      <c r="N14" s="397"/>
      <c r="O14" s="397"/>
      <c r="P14" s="397"/>
      <c r="Q14" s="397"/>
      <c r="R14" s="393"/>
      <c r="S14" s="392" t="s">
        <v>111</v>
      </c>
      <c r="T14" s="397"/>
      <c r="U14" s="397"/>
      <c r="V14" s="397"/>
      <c r="W14" s="397"/>
      <c r="X14" s="397"/>
      <c r="Y14" s="393"/>
      <c r="Z14" s="392" t="s">
        <v>112</v>
      </c>
      <c r="AA14" s="397"/>
      <c r="AB14" s="397"/>
      <c r="AC14" s="397"/>
      <c r="AD14" s="397"/>
      <c r="AE14" s="397"/>
      <c r="AF14" s="393"/>
      <c r="AG14" s="392" t="s">
        <v>113</v>
      </c>
      <c r="AH14" s="397"/>
      <c r="AI14" s="397"/>
      <c r="AJ14" s="397"/>
      <c r="AK14" s="397"/>
      <c r="AL14" s="397"/>
      <c r="AM14" s="393"/>
      <c r="AN14" s="377" t="s">
        <v>109</v>
      </c>
      <c r="AO14" s="377"/>
      <c r="AP14" s="377"/>
      <c r="AQ14" s="377"/>
      <c r="AR14" s="377"/>
      <c r="AS14" s="377"/>
      <c r="AT14" s="377"/>
      <c r="AU14" s="377" t="s">
        <v>110</v>
      </c>
      <c r="AV14" s="377"/>
      <c r="AW14" s="377"/>
      <c r="AX14" s="377"/>
      <c r="AY14" s="377"/>
      <c r="AZ14" s="377"/>
      <c r="BA14" s="377"/>
      <c r="BB14" s="377" t="s">
        <v>111</v>
      </c>
      <c r="BC14" s="377"/>
      <c r="BD14" s="377"/>
      <c r="BE14" s="377"/>
      <c r="BF14" s="377"/>
      <c r="BG14" s="377"/>
      <c r="BH14" s="377"/>
      <c r="BI14" s="377" t="s">
        <v>112</v>
      </c>
      <c r="BJ14" s="377"/>
      <c r="BK14" s="377"/>
      <c r="BL14" s="377"/>
      <c r="BM14" s="377"/>
      <c r="BN14" s="377"/>
      <c r="BO14" s="377"/>
      <c r="BP14" s="377" t="s">
        <v>113</v>
      </c>
      <c r="BQ14" s="377"/>
      <c r="BR14" s="377"/>
      <c r="BS14" s="377"/>
      <c r="BT14" s="377"/>
      <c r="BU14" s="377"/>
      <c r="BV14" s="377"/>
      <c r="BW14" s="380"/>
      <c r="BX14" s="391"/>
      <c r="BY14" s="391"/>
      <c r="BZ14" s="391"/>
      <c r="CA14" s="391"/>
      <c r="CB14" s="391"/>
      <c r="CC14" s="381"/>
      <c r="CD14" s="377"/>
    </row>
    <row r="15" spans="1:82" s="54" customFormat="1" ht="130.5" customHeight="1">
      <c r="A15" s="400"/>
      <c r="B15" s="400"/>
      <c r="C15" s="400"/>
      <c r="D15" s="400"/>
      <c r="E15" s="50" t="s">
        <v>39</v>
      </c>
      <c r="F15" s="50" t="s">
        <v>40</v>
      </c>
      <c r="G15" s="50" t="s">
        <v>58</v>
      </c>
      <c r="H15" s="50" t="s">
        <v>55</v>
      </c>
      <c r="I15" s="50" t="s">
        <v>60</v>
      </c>
      <c r="J15" s="50" t="s">
        <v>42</v>
      </c>
      <c r="K15" s="50" t="s">
        <v>43</v>
      </c>
      <c r="L15" s="50" t="s">
        <v>39</v>
      </c>
      <c r="M15" s="50" t="s">
        <v>40</v>
      </c>
      <c r="N15" s="50" t="s">
        <v>58</v>
      </c>
      <c r="O15" s="52" t="s">
        <v>55</v>
      </c>
      <c r="P15" s="50" t="s">
        <v>186</v>
      </c>
      <c r="Q15" s="50" t="s">
        <v>42</v>
      </c>
      <c r="R15" s="50" t="s">
        <v>43</v>
      </c>
      <c r="S15" s="50" t="s">
        <v>39</v>
      </c>
      <c r="T15" s="50" t="s">
        <v>40</v>
      </c>
      <c r="U15" s="50" t="s">
        <v>58</v>
      </c>
      <c r="V15" s="50" t="s">
        <v>55</v>
      </c>
      <c r="W15" s="50" t="s">
        <v>60</v>
      </c>
      <c r="X15" s="50" t="s">
        <v>42</v>
      </c>
      <c r="Y15" s="50" t="s">
        <v>43</v>
      </c>
      <c r="Z15" s="50" t="s">
        <v>39</v>
      </c>
      <c r="AA15" s="50" t="s">
        <v>40</v>
      </c>
      <c r="AB15" s="50" t="s">
        <v>58</v>
      </c>
      <c r="AC15" s="50" t="s">
        <v>55</v>
      </c>
      <c r="AD15" s="50" t="s">
        <v>41</v>
      </c>
      <c r="AE15" s="50" t="s">
        <v>42</v>
      </c>
      <c r="AF15" s="50" t="s">
        <v>43</v>
      </c>
      <c r="AG15" s="50" t="s">
        <v>39</v>
      </c>
      <c r="AH15" s="50" t="s">
        <v>40</v>
      </c>
      <c r="AI15" s="50" t="s">
        <v>58</v>
      </c>
      <c r="AJ15" s="50" t="s">
        <v>55</v>
      </c>
      <c r="AK15" s="50" t="s">
        <v>60</v>
      </c>
      <c r="AL15" s="50" t="s">
        <v>42</v>
      </c>
      <c r="AM15" s="50" t="s">
        <v>43</v>
      </c>
      <c r="AN15" s="111" t="s">
        <v>39</v>
      </c>
      <c r="AO15" s="111" t="s">
        <v>40</v>
      </c>
      <c r="AP15" s="111" t="s">
        <v>58</v>
      </c>
      <c r="AQ15" s="111" t="s">
        <v>55</v>
      </c>
      <c r="AR15" s="111" t="s">
        <v>60</v>
      </c>
      <c r="AS15" s="111" t="s">
        <v>42</v>
      </c>
      <c r="AT15" s="111" t="s">
        <v>43</v>
      </c>
      <c r="AU15" s="111" t="s">
        <v>39</v>
      </c>
      <c r="AV15" s="111" t="s">
        <v>40</v>
      </c>
      <c r="AW15" s="111" t="s">
        <v>58</v>
      </c>
      <c r="AX15" s="111" t="s">
        <v>55</v>
      </c>
      <c r="AY15" s="111" t="s">
        <v>60</v>
      </c>
      <c r="AZ15" s="111" t="s">
        <v>42</v>
      </c>
      <c r="BA15" s="111" t="s">
        <v>43</v>
      </c>
      <c r="BB15" s="111" t="s">
        <v>39</v>
      </c>
      <c r="BC15" s="111" t="s">
        <v>40</v>
      </c>
      <c r="BD15" s="111" t="s">
        <v>58</v>
      </c>
      <c r="BE15" s="111" t="s">
        <v>55</v>
      </c>
      <c r="BF15" s="111" t="s">
        <v>60</v>
      </c>
      <c r="BG15" s="111" t="s">
        <v>42</v>
      </c>
      <c r="BH15" s="111" t="s">
        <v>43</v>
      </c>
      <c r="BI15" s="111" t="s">
        <v>39</v>
      </c>
      <c r="BJ15" s="111" t="s">
        <v>40</v>
      </c>
      <c r="BK15" s="111" t="s">
        <v>58</v>
      </c>
      <c r="BL15" s="111" t="s">
        <v>55</v>
      </c>
      <c r="BM15" s="111" t="s">
        <v>60</v>
      </c>
      <c r="BN15" s="111" t="s">
        <v>42</v>
      </c>
      <c r="BO15" s="111" t="s">
        <v>43</v>
      </c>
      <c r="BP15" s="111" t="s">
        <v>39</v>
      </c>
      <c r="BQ15" s="111" t="s">
        <v>40</v>
      </c>
      <c r="BR15" s="111" t="s">
        <v>58</v>
      </c>
      <c r="BS15" s="111" t="s">
        <v>55</v>
      </c>
      <c r="BT15" s="111" t="s">
        <v>60</v>
      </c>
      <c r="BU15" s="111" t="s">
        <v>42</v>
      </c>
      <c r="BV15" s="111" t="s">
        <v>43</v>
      </c>
      <c r="BW15" s="111" t="s">
        <v>39</v>
      </c>
      <c r="BX15" s="111" t="s">
        <v>40</v>
      </c>
      <c r="BY15" s="111" t="s">
        <v>58</v>
      </c>
      <c r="BZ15" s="111" t="s">
        <v>55</v>
      </c>
      <c r="CA15" s="111" t="s">
        <v>60</v>
      </c>
      <c r="CB15" s="111" t="s">
        <v>42</v>
      </c>
      <c r="CC15" s="111" t="s">
        <v>43</v>
      </c>
      <c r="CD15" s="377"/>
    </row>
    <row r="16" spans="1:82" s="63" customFormat="1">
      <c r="A16" s="50">
        <v>1</v>
      </c>
      <c r="B16" s="50">
        <v>2</v>
      </c>
      <c r="C16" s="50">
        <v>3</v>
      </c>
      <c r="D16" s="50">
        <v>4</v>
      </c>
      <c r="E16" s="50" t="s">
        <v>115</v>
      </c>
      <c r="F16" s="50" t="s">
        <v>116</v>
      </c>
      <c r="G16" s="50" t="s">
        <v>117</v>
      </c>
      <c r="H16" s="50" t="s">
        <v>118</v>
      </c>
      <c r="I16" s="50" t="s">
        <v>119</v>
      </c>
      <c r="J16" s="50" t="s">
        <v>120</v>
      </c>
      <c r="K16" s="50" t="s">
        <v>121</v>
      </c>
      <c r="L16" s="50" t="s">
        <v>122</v>
      </c>
      <c r="M16" s="50" t="s">
        <v>123</v>
      </c>
      <c r="N16" s="50" t="s">
        <v>124</v>
      </c>
      <c r="O16" s="52" t="s">
        <v>125</v>
      </c>
      <c r="P16" s="50" t="s">
        <v>126</v>
      </c>
      <c r="Q16" s="50" t="s">
        <v>127</v>
      </c>
      <c r="R16" s="50" t="s">
        <v>128</v>
      </c>
      <c r="S16" s="50" t="s">
        <v>129</v>
      </c>
      <c r="T16" s="50" t="s">
        <v>130</v>
      </c>
      <c r="U16" s="50" t="s">
        <v>131</v>
      </c>
      <c r="V16" s="50" t="s">
        <v>132</v>
      </c>
      <c r="W16" s="50" t="s">
        <v>133</v>
      </c>
      <c r="X16" s="50" t="s">
        <v>134</v>
      </c>
      <c r="Y16" s="50" t="s">
        <v>135</v>
      </c>
      <c r="Z16" s="50" t="s">
        <v>136</v>
      </c>
      <c r="AA16" s="50" t="s">
        <v>137</v>
      </c>
      <c r="AB16" s="50" t="s">
        <v>138</v>
      </c>
      <c r="AC16" s="50" t="s">
        <v>139</v>
      </c>
      <c r="AD16" s="50" t="s">
        <v>140</v>
      </c>
      <c r="AE16" s="50" t="s">
        <v>141</v>
      </c>
      <c r="AF16" s="50" t="s">
        <v>142</v>
      </c>
      <c r="AG16" s="50" t="s">
        <v>143</v>
      </c>
      <c r="AH16" s="50" t="s">
        <v>144</v>
      </c>
      <c r="AI16" s="50" t="s">
        <v>145</v>
      </c>
      <c r="AJ16" s="50" t="s">
        <v>146</v>
      </c>
      <c r="AK16" s="50" t="s">
        <v>147</v>
      </c>
      <c r="AL16" s="50" t="s">
        <v>148</v>
      </c>
      <c r="AM16" s="50" t="s">
        <v>188</v>
      </c>
      <c r="AN16" s="111" t="s">
        <v>160</v>
      </c>
      <c r="AO16" s="111" t="s">
        <v>161</v>
      </c>
      <c r="AP16" s="111" t="s">
        <v>162</v>
      </c>
      <c r="AQ16" s="111" t="s">
        <v>163</v>
      </c>
      <c r="AR16" s="111" t="s">
        <v>164</v>
      </c>
      <c r="AS16" s="111" t="s">
        <v>189</v>
      </c>
      <c r="AT16" s="111" t="s">
        <v>190</v>
      </c>
      <c r="AU16" s="111" t="s">
        <v>191</v>
      </c>
      <c r="AV16" s="111" t="s">
        <v>192</v>
      </c>
      <c r="AW16" s="111" t="s">
        <v>193</v>
      </c>
      <c r="AX16" s="111" t="s">
        <v>194</v>
      </c>
      <c r="AY16" s="111" t="s">
        <v>195</v>
      </c>
      <c r="AZ16" s="111" t="s">
        <v>196</v>
      </c>
      <c r="BA16" s="111" t="s">
        <v>197</v>
      </c>
      <c r="BB16" s="111" t="s">
        <v>198</v>
      </c>
      <c r="BC16" s="111" t="s">
        <v>199</v>
      </c>
      <c r="BD16" s="111" t="s">
        <v>200</v>
      </c>
      <c r="BE16" s="111" t="s">
        <v>201</v>
      </c>
      <c r="BF16" s="111" t="s">
        <v>202</v>
      </c>
      <c r="BG16" s="111" t="s">
        <v>203</v>
      </c>
      <c r="BH16" s="111" t="s">
        <v>204</v>
      </c>
      <c r="BI16" s="111" t="s">
        <v>205</v>
      </c>
      <c r="BJ16" s="111" t="s">
        <v>206</v>
      </c>
      <c r="BK16" s="111" t="s">
        <v>207</v>
      </c>
      <c r="BL16" s="111" t="s">
        <v>208</v>
      </c>
      <c r="BM16" s="111" t="s">
        <v>209</v>
      </c>
      <c r="BN16" s="111" t="s">
        <v>210</v>
      </c>
      <c r="BO16" s="111" t="s">
        <v>211</v>
      </c>
      <c r="BP16" s="111" t="s">
        <v>212</v>
      </c>
      <c r="BQ16" s="111" t="s">
        <v>213</v>
      </c>
      <c r="BR16" s="111" t="s">
        <v>214</v>
      </c>
      <c r="BS16" s="111" t="s">
        <v>215</v>
      </c>
      <c r="BT16" s="111" t="s">
        <v>216</v>
      </c>
      <c r="BU16" s="111" t="s">
        <v>217</v>
      </c>
      <c r="BV16" s="111" t="s">
        <v>218</v>
      </c>
      <c r="BW16" s="111" t="s">
        <v>165</v>
      </c>
      <c r="BX16" s="111" t="s">
        <v>166</v>
      </c>
      <c r="BY16" s="111" t="s">
        <v>167</v>
      </c>
      <c r="BZ16" s="111" t="s">
        <v>168</v>
      </c>
      <c r="CA16" s="111" t="s">
        <v>169</v>
      </c>
      <c r="CB16" s="111" t="s">
        <v>219</v>
      </c>
      <c r="CC16" s="111" t="s">
        <v>220</v>
      </c>
      <c r="CD16" s="111">
        <v>8</v>
      </c>
    </row>
    <row r="17" spans="1:82" s="63" customFormat="1" ht="28.5">
      <c r="A17" s="83" t="s">
        <v>384</v>
      </c>
      <c r="B17" s="84" t="s">
        <v>31</v>
      </c>
      <c r="C17" s="100" t="s">
        <v>385</v>
      </c>
      <c r="D17" s="101" t="s">
        <v>385</v>
      </c>
      <c r="E17" s="55">
        <f>L17+S17+Z17+AG17</f>
        <v>0.16</v>
      </c>
      <c r="F17" s="55">
        <f t="shared" ref="F17:K17" si="0">M17+T17+AA17+AH17</f>
        <v>0</v>
      </c>
      <c r="G17" s="119">
        <f t="shared" si="0"/>
        <v>13.125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227</v>
      </c>
      <c r="L17" s="120">
        <f t="shared" ref="L17:O17" si="1">L18+L19+L20+L21+L22+L23</f>
        <v>0</v>
      </c>
      <c r="M17" s="120">
        <f t="shared" si="1"/>
        <v>0</v>
      </c>
      <c r="N17" s="120">
        <f t="shared" si="1"/>
        <v>0</v>
      </c>
      <c r="O17" s="120">
        <f t="shared" si="1"/>
        <v>0</v>
      </c>
      <c r="P17" s="120">
        <f>P18+P19+P20+P21+P22+P23</f>
        <v>0</v>
      </c>
      <c r="Q17" s="120">
        <f t="shared" ref="Q17:AM17" si="2">Q18+Q19+Q20+Q21+Q22+Q23</f>
        <v>0</v>
      </c>
      <c r="R17" s="120">
        <f t="shared" si="2"/>
        <v>0</v>
      </c>
      <c r="S17" s="120">
        <f t="shared" si="2"/>
        <v>0</v>
      </c>
      <c r="T17" s="120">
        <f t="shared" si="2"/>
        <v>0</v>
      </c>
      <c r="U17" s="120">
        <f t="shared" si="2"/>
        <v>0</v>
      </c>
      <c r="V17" s="120">
        <f t="shared" si="2"/>
        <v>0</v>
      </c>
      <c r="W17" s="120">
        <f t="shared" si="2"/>
        <v>0</v>
      </c>
      <c r="X17" s="120">
        <f t="shared" si="2"/>
        <v>0</v>
      </c>
      <c r="Y17" s="120">
        <f t="shared" si="2"/>
        <v>0</v>
      </c>
      <c r="Z17" s="120">
        <f t="shared" si="2"/>
        <v>0</v>
      </c>
      <c r="AA17" s="120">
        <f t="shared" si="2"/>
        <v>0</v>
      </c>
      <c r="AB17" s="120">
        <f t="shared" si="2"/>
        <v>0</v>
      </c>
      <c r="AC17" s="120">
        <f t="shared" si="2"/>
        <v>0</v>
      </c>
      <c r="AD17" s="120">
        <f t="shared" si="2"/>
        <v>0</v>
      </c>
      <c r="AE17" s="120">
        <f t="shared" si="2"/>
        <v>0</v>
      </c>
      <c r="AF17" s="120">
        <f t="shared" si="2"/>
        <v>0</v>
      </c>
      <c r="AG17" s="120">
        <f t="shared" si="2"/>
        <v>0.16</v>
      </c>
      <c r="AH17" s="120">
        <f t="shared" si="2"/>
        <v>0</v>
      </c>
      <c r="AI17" s="120">
        <f t="shared" si="2"/>
        <v>13.125</v>
      </c>
      <c r="AJ17" s="120">
        <f t="shared" si="2"/>
        <v>0</v>
      </c>
      <c r="AK17" s="120">
        <f t="shared" si="2"/>
        <v>0</v>
      </c>
      <c r="AL17" s="120">
        <f t="shared" si="2"/>
        <v>0</v>
      </c>
      <c r="AM17" s="120">
        <f t="shared" si="2"/>
        <v>227</v>
      </c>
      <c r="AN17" s="55">
        <f>AU17+BB17+BI17+BP17</f>
        <v>0</v>
      </c>
      <c r="AO17" s="55">
        <f t="shared" ref="AO17:AO43" si="3">AV17+BC17+BJ17+BQ17</f>
        <v>0</v>
      </c>
      <c r="AP17" s="55">
        <f t="shared" ref="AP17:AP43" si="4">AW17+BD17+BK17+BR17</f>
        <v>0</v>
      </c>
      <c r="AQ17" s="55">
        <f t="shared" ref="AQ17:AQ43" si="5">AX17+BE17+BL17+BS17</f>
        <v>0</v>
      </c>
      <c r="AR17" s="55">
        <f t="shared" ref="AR17:AR43" si="6">AY17+BF17+BM17+BT17</f>
        <v>0</v>
      </c>
      <c r="AS17" s="55">
        <f t="shared" ref="AS17:AS43" si="7">AZ17+BG17+BN17+BU17</f>
        <v>0</v>
      </c>
      <c r="AT17" s="55">
        <f t="shared" ref="AT17:AT43" si="8">BA17+BH17+BO17+BV17</f>
        <v>0</v>
      </c>
      <c r="AU17" s="120">
        <f t="shared" ref="AU17" si="9">AU18+AU19+AU20+AU21+AU22+AU23</f>
        <v>0</v>
      </c>
      <c r="AV17" s="120">
        <f t="shared" ref="AV17" si="10">AV18+AV19+AV20+AV21+AV22+AV23</f>
        <v>0</v>
      </c>
      <c r="AW17" s="120">
        <f t="shared" ref="AW17" si="11">AW18+AW19+AW20+AW21+AW22+AW23</f>
        <v>0</v>
      </c>
      <c r="AX17" s="120">
        <f t="shared" ref="AX17" si="12">AX18+AX19+AX20+AX21+AX22+AX23</f>
        <v>0</v>
      </c>
      <c r="AY17" s="120">
        <f>AY18+AY19+AY20+AY21+AY22+AY23</f>
        <v>0</v>
      </c>
      <c r="AZ17" s="120">
        <f t="shared" ref="AZ17" si="13">AZ18+AZ19+AZ20+AZ21+AZ22+AZ23</f>
        <v>0</v>
      </c>
      <c r="BA17" s="120">
        <f t="shared" ref="BA17" si="14">BA18+BA19+BA20+BA21+BA22+BA23</f>
        <v>0</v>
      </c>
      <c r="BB17" s="120">
        <f t="shared" ref="BB17" si="15">BB18+BB19+BB20+BB21+BB22+BB23</f>
        <v>0</v>
      </c>
      <c r="BC17" s="120">
        <f t="shared" ref="BC17" si="16">BC18+BC19+BC20+BC21+BC22+BC23</f>
        <v>0</v>
      </c>
      <c r="BD17" s="120">
        <f t="shared" ref="BD17" si="17">BD18+BD19+BD20+BD21+BD22+BD23</f>
        <v>0</v>
      </c>
      <c r="BE17" s="120">
        <f t="shared" ref="BE17" si="18">BE18+BE19+BE20+BE21+BE22+BE23</f>
        <v>0</v>
      </c>
      <c r="BF17" s="120">
        <f t="shared" ref="BF17" si="19">BF18+BF19+BF20+BF21+BF22+BF23</f>
        <v>0</v>
      </c>
      <c r="BG17" s="120">
        <f t="shared" ref="BG17" si="20">BG18+BG19+BG20+BG21+BG22+BG23</f>
        <v>0</v>
      </c>
      <c r="BH17" s="120">
        <f t="shared" ref="BH17" si="21">BH18+BH19+BH20+BH21+BH22+BH23</f>
        <v>0</v>
      </c>
      <c r="BI17" s="120">
        <f t="shared" ref="BI17" si="22">BI18+BI19+BI20+BI21+BI22+BI23</f>
        <v>0</v>
      </c>
      <c r="BJ17" s="120">
        <f t="shared" ref="BJ17" si="23">BJ18+BJ19+BJ20+BJ21+BJ22+BJ23</f>
        <v>0</v>
      </c>
      <c r="BK17" s="120">
        <f t="shared" ref="BK17" si="24">BK18+BK19+BK20+BK21+BK22+BK23</f>
        <v>0</v>
      </c>
      <c r="BL17" s="120">
        <f t="shared" ref="BL17" si="25">BL18+BL19+BL20+BL21+BL22+BL23</f>
        <v>0</v>
      </c>
      <c r="BM17" s="120">
        <f t="shared" ref="BM17" si="26">BM18+BM19+BM20+BM21+BM22+BM23</f>
        <v>0</v>
      </c>
      <c r="BN17" s="120">
        <f t="shared" ref="BN17" si="27">BN18+BN19+BN20+BN21+BN22+BN23</f>
        <v>0</v>
      </c>
      <c r="BO17" s="120">
        <f t="shared" ref="BO17" si="28">BO18+BO19+BO20+BO21+BO22+BO23</f>
        <v>0</v>
      </c>
      <c r="BP17" s="120">
        <f t="shared" ref="BP17" si="29">BP18+BP19+BP20+BP21+BP22+BP23</f>
        <v>0</v>
      </c>
      <c r="BQ17" s="120">
        <f t="shared" ref="BQ17" si="30">BQ18+BQ19+BQ20+BQ21+BQ22+BQ23</f>
        <v>0</v>
      </c>
      <c r="BR17" s="120">
        <f t="shared" ref="BR17" si="31">BR18+BR19+BR20+BR21+BR22+BR23</f>
        <v>0</v>
      </c>
      <c r="BS17" s="120">
        <f t="shared" ref="BS17" si="32">BS18+BS19+BS20+BS21+BS22+BS23</f>
        <v>0</v>
      </c>
      <c r="BT17" s="120">
        <f t="shared" ref="BT17" si="33">BT18+BT19+BT20+BT21+BT22+BT23</f>
        <v>0</v>
      </c>
      <c r="BU17" s="120">
        <f t="shared" ref="BU17" si="34">BU18+BU19+BU20+BU21+BU22+BU23</f>
        <v>0</v>
      </c>
      <c r="BV17" s="120">
        <f t="shared" ref="BV17" si="35">BV18+BV19+BV20+BV21+BV22+BV23</f>
        <v>0</v>
      </c>
      <c r="BW17" s="55">
        <f>AU17-L17</f>
        <v>0</v>
      </c>
      <c r="BX17" s="55">
        <f t="shared" ref="BX17:CC17" si="36">AV17-M17</f>
        <v>0</v>
      </c>
      <c r="BY17" s="55">
        <f t="shared" si="36"/>
        <v>0</v>
      </c>
      <c r="BZ17" s="55">
        <f t="shared" si="36"/>
        <v>0</v>
      </c>
      <c r="CA17" s="55">
        <f t="shared" si="36"/>
        <v>0</v>
      </c>
      <c r="CB17" s="55">
        <f t="shared" si="36"/>
        <v>0</v>
      </c>
      <c r="CC17" s="55">
        <f t="shared" si="36"/>
        <v>0</v>
      </c>
      <c r="CD17" s="111"/>
    </row>
    <row r="18" spans="1:82" s="63" customFormat="1" ht="15.75">
      <c r="A18" s="85" t="s">
        <v>386</v>
      </c>
      <c r="B18" s="86" t="s">
        <v>387</v>
      </c>
      <c r="C18" s="101" t="s">
        <v>385</v>
      </c>
      <c r="D18" s="101" t="s">
        <v>385</v>
      </c>
      <c r="E18" s="120">
        <f t="shared" ref="E18:E43" si="37">L18+S18+Z18+AG18</f>
        <v>0</v>
      </c>
      <c r="F18" s="120">
        <f t="shared" ref="F18:F43" si="38">M18+T18+AA18+AH18</f>
        <v>0</v>
      </c>
      <c r="G18" s="120">
        <f t="shared" ref="G18:G43" si="39">N18+U18+AB18+AI18</f>
        <v>0</v>
      </c>
      <c r="H18" s="120">
        <f t="shared" ref="H18:H43" si="40">O18+V18+AC18+AJ18</f>
        <v>0</v>
      </c>
      <c r="I18" s="120">
        <f t="shared" ref="I18:I43" si="41">P18+W18+AD18+AK18</f>
        <v>0</v>
      </c>
      <c r="J18" s="120">
        <f t="shared" ref="J18:J43" si="42">Q18+X18+AE18+AL18</f>
        <v>0</v>
      </c>
      <c r="K18" s="120">
        <f t="shared" ref="K18:K43" si="43">R18+Y18+AF18+AM18</f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f t="shared" ref="AN18:AN43" si="44">AU18+BB18+BI18+BP18</f>
        <v>0</v>
      </c>
      <c r="AO18" s="120">
        <f t="shared" si="3"/>
        <v>0</v>
      </c>
      <c r="AP18" s="120">
        <f t="shared" si="4"/>
        <v>0</v>
      </c>
      <c r="AQ18" s="120">
        <f t="shared" si="5"/>
        <v>0</v>
      </c>
      <c r="AR18" s="120">
        <f t="shared" si="6"/>
        <v>0</v>
      </c>
      <c r="AS18" s="120">
        <f t="shared" si="7"/>
        <v>0</v>
      </c>
      <c r="AT18" s="120">
        <f t="shared" si="8"/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55">
        <f t="shared" ref="BW18:BW43" si="45">AU18-L18</f>
        <v>0</v>
      </c>
      <c r="BX18" s="55">
        <f t="shared" ref="BX18:BX43" si="46">AV18-M18</f>
        <v>0</v>
      </c>
      <c r="BY18" s="55">
        <f t="shared" ref="BY18:BY43" si="47">AW18-N18</f>
        <v>0</v>
      </c>
      <c r="BZ18" s="55">
        <f t="shared" ref="BZ18:BZ43" si="48">AX18-O18</f>
        <v>0</v>
      </c>
      <c r="CA18" s="55">
        <f t="shared" ref="CA18:CA43" si="49">AY18-P18</f>
        <v>0</v>
      </c>
      <c r="CB18" s="55">
        <f t="shared" ref="CB18:CB43" si="50">AZ18-Q18</f>
        <v>0</v>
      </c>
      <c r="CC18" s="55">
        <f t="shared" ref="CC18:CC43" si="51">BA18-R18</f>
        <v>0</v>
      </c>
      <c r="CD18" s="111"/>
    </row>
    <row r="19" spans="1:82" s="63" customFormat="1" ht="30">
      <c r="A19" s="87" t="s">
        <v>388</v>
      </c>
      <c r="B19" s="88" t="s">
        <v>389</v>
      </c>
      <c r="C19" s="101" t="s">
        <v>385</v>
      </c>
      <c r="D19" s="101" t="s">
        <v>385</v>
      </c>
      <c r="E19" s="120">
        <f t="shared" si="37"/>
        <v>0</v>
      </c>
      <c r="F19" s="120">
        <f t="shared" si="38"/>
        <v>0</v>
      </c>
      <c r="G19" s="277">
        <f t="shared" si="39"/>
        <v>9.1050000000000004</v>
      </c>
      <c r="H19" s="120">
        <f t="shared" si="40"/>
        <v>0</v>
      </c>
      <c r="I19" s="120">
        <f t="shared" si="41"/>
        <v>0</v>
      </c>
      <c r="J19" s="120">
        <f t="shared" si="42"/>
        <v>0</v>
      </c>
      <c r="K19" s="120">
        <f t="shared" si="43"/>
        <v>227</v>
      </c>
      <c r="L19" s="120">
        <f t="shared" ref="L19:O19" si="52">L25</f>
        <v>0</v>
      </c>
      <c r="M19" s="120">
        <f t="shared" si="52"/>
        <v>0</v>
      </c>
      <c r="N19" s="120">
        <f t="shared" si="52"/>
        <v>0</v>
      </c>
      <c r="O19" s="120">
        <f t="shared" si="52"/>
        <v>0</v>
      </c>
      <c r="P19" s="120">
        <f>P25</f>
        <v>0</v>
      </c>
      <c r="Q19" s="120">
        <f t="shared" ref="Q19:AM19" si="53">Q25</f>
        <v>0</v>
      </c>
      <c r="R19" s="120">
        <f t="shared" si="53"/>
        <v>0</v>
      </c>
      <c r="S19" s="120">
        <f t="shared" si="53"/>
        <v>0</v>
      </c>
      <c r="T19" s="120">
        <f t="shared" si="53"/>
        <v>0</v>
      </c>
      <c r="U19" s="120">
        <f t="shared" si="53"/>
        <v>0</v>
      </c>
      <c r="V19" s="120">
        <f t="shared" si="53"/>
        <v>0</v>
      </c>
      <c r="W19" s="120">
        <f t="shared" si="53"/>
        <v>0</v>
      </c>
      <c r="X19" s="120">
        <f t="shared" si="53"/>
        <v>0</v>
      </c>
      <c r="Y19" s="120">
        <f t="shared" si="53"/>
        <v>0</v>
      </c>
      <c r="Z19" s="120">
        <f t="shared" si="53"/>
        <v>0</v>
      </c>
      <c r="AA19" s="120">
        <f t="shared" si="53"/>
        <v>0</v>
      </c>
      <c r="AB19" s="120">
        <f t="shared" si="53"/>
        <v>0</v>
      </c>
      <c r="AC19" s="120">
        <f t="shared" si="53"/>
        <v>0</v>
      </c>
      <c r="AD19" s="120">
        <f t="shared" si="53"/>
        <v>0</v>
      </c>
      <c r="AE19" s="120">
        <f t="shared" si="53"/>
        <v>0</v>
      </c>
      <c r="AF19" s="120">
        <f t="shared" si="53"/>
        <v>0</v>
      </c>
      <c r="AG19" s="120">
        <f t="shared" si="53"/>
        <v>0</v>
      </c>
      <c r="AH19" s="120">
        <f t="shared" si="53"/>
        <v>0</v>
      </c>
      <c r="AI19" s="120">
        <f t="shared" si="53"/>
        <v>9.1050000000000004</v>
      </c>
      <c r="AJ19" s="120">
        <f t="shared" si="53"/>
        <v>0</v>
      </c>
      <c r="AK19" s="120">
        <f t="shared" si="53"/>
        <v>0</v>
      </c>
      <c r="AL19" s="120">
        <f t="shared" si="53"/>
        <v>0</v>
      </c>
      <c r="AM19" s="120">
        <f t="shared" si="53"/>
        <v>227</v>
      </c>
      <c r="AN19" s="120">
        <f t="shared" si="44"/>
        <v>0</v>
      </c>
      <c r="AO19" s="120">
        <f t="shared" si="3"/>
        <v>0</v>
      </c>
      <c r="AP19" s="120">
        <f t="shared" si="4"/>
        <v>0</v>
      </c>
      <c r="AQ19" s="120">
        <f t="shared" si="5"/>
        <v>0</v>
      </c>
      <c r="AR19" s="120">
        <f t="shared" si="6"/>
        <v>0</v>
      </c>
      <c r="AS19" s="120">
        <f t="shared" si="7"/>
        <v>0</v>
      </c>
      <c r="AT19" s="120">
        <f t="shared" si="8"/>
        <v>0</v>
      </c>
      <c r="AU19" s="120">
        <f t="shared" ref="AU19:AX19" si="54">AU25</f>
        <v>0</v>
      </c>
      <c r="AV19" s="120">
        <f t="shared" si="54"/>
        <v>0</v>
      </c>
      <c r="AW19" s="120">
        <f t="shared" si="54"/>
        <v>0</v>
      </c>
      <c r="AX19" s="120">
        <f t="shared" si="54"/>
        <v>0</v>
      </c>
      <c r="AY19" s="120">
        <f>AY25</f>
        <v>0</v>
      </c>
      <c r="AZ19" s="120">
        <f t="shared" ref="AZ19:BV19" si="55">AZ25</f>
        <v>0</v>
      </c>
      <c r="BA19" s="120">
        <f t="shared" si="55"/>
        <v>0</v>
      </c>
      <c r="BB19" s="120">
        <f t="shared" si="55"/>
        <v>0</v>
      </c>
      <c r="BC19" s="120">
        <f t="shared" si="55"/>
        <v>0</v>
      </c>
      <c r="BD19" s="120">
        <f t="shared" si="55"/>
        <v>0</v>
      </c>
      <c r="BE19" s="120">
        <f t="shared" si="55"/>
        <v>0</v>
      </c>
      <c r="BF19" s="120">
        <f t="shared" si="55"/>
        <v>0</v>
      </c>
      <c r="BG19" s="120">
        <f t="shared" si="55"/>
        <v>0</v>
      </c>
      <c r="BH19" s="120">
        <f t="shared" si="55"/>
        <v>0</v>
      </c>
      <c r="BI19" s="120">
        <f t="shared" si="55"/>
        <v>0</v>
      </c>
      <c r="BJ19" s="120">
        <f t="shared" si="55"/>
        <v>0</v>
      </c>
      <c r="BK19" s="120">
        <f t="shared" si="55"/>
        <v>0</v>
      </c>
      <c r="BL19" s="120">
        <f t="shared" si="55"/>
        <v>0</v>
      </c>
      <c r="BM19" s="120">
        <f t="shared" si="55"/>
        <v>0</v>
      </c>
      <c r="BN19" s="120">
        <f t="shared" si="55"/>
        <v>0</v>
      </c>
      <c r="BO19" s="120">
        <f t="shared" si="55"/>
        <v>0</v>
      </c>
      <c r="BP19" s="120">
        <f t="shared" si="55"/>
        <v>0</v>
      </c>
      <c r="BQ19" s="120">
        <f t="shared" si="55"/>
        <v>0</v>
      </c>
      <c r="BR19" s="120">
        <f t="shared" si="55"/>
        <v>0</v>
      </c>
      <c r="BS19" s="120">
        <f t="shared" si="55"/>
        <v>0</v>
      </c>
      <c r="BT19" s="120">
        <f t="shared" si="55"/>
        <v>0</v>
      </c>
      <c r="BU19" s="120">
        <f t="shared" si="55"/>
        <v>0</v>
      </c>
      <c r="BV19" s="120">
        <f t="shared" si="55"/>
        <v>0</v>
      </c>
      <c r="BW19" s="55">
        <f t="shared" si="45"/>
        <v>0</v>
      </c>
      <c r="BX19" s="55">
        <f t="shared" si="46"/>
        <v>0</v>
      </c>
      <c r="BY19" s="55">
        <f t="shared" si="47"/>
        <v>0</v>
      </c>
      <c r="BZ19" s="55">
        <f t="shared" si="48"/>
        <v>0</v>
      </c>
      <c r="CA19" s="55">
        <f t="shared" si="49"/>
        <v>0</v>
      </c>
      <c r="CB19" s="55">
        <f t="shared" si="50"/>
        <v>0</v>
      </c>
      <c r="CC19" s="55">
        <f t="shared" si="51"/>
        <v>0</v>
      </c>
      <c r="CD19" s="111"/>
    </row>
    <row r="20" spans="1:82" s="63" customFormat="1" ht="60">
      <c r="A20" s="87" t="s">
        <v>390</v>
      </c>
      <c r="B20" s="88" t="s">
        <v>391</v>
      </c>
      <c r="C20" s="101" t="s">
        <v>385</v>
      </c>
      <c r="D20" s="101" t="s">
        <v>385</v>
      </c>
      <c r="E20" s="120">
        <f t="shared" si="37"/>
        <v>0</v>
      </c>
      <c r="F20" s="120">
        <f t="shared" si="38"/>
        <v>0</v>
      </c>
      <c r="G20" s="120">
        <f t="shared" si="39"/>
        <v>0</v>
      </c>
      <c r="H20" s="120">
        <f t="shared" si="40"/>
        <v>0</v>
      </c>
      <c r="I20" s="120">
        <f t="shared" si="41"/>
        <v>0</v>
      </c>
      <c r="J20" s="120">
        <f t="shared" si="42"/>
        <v>0</v>
      </c>
      <c r="K20" s="120">
        <f t="shared" si="43"/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120">
        <f t="shared" si="44"/>
        <v>0</v>
      </c>
      <c r="AO20" s="120">
        <f t="shared" si="3"/>
        <v>0</v>
      </c>
      <c r="AP20" s="120">
        <f t="shared" si="4"/>
        <v>0</v>
      </c>
      <c r="AQ20" s="120">
        <f t="shared" si="5"/>
        <v>0</v>
      </c>
      <c r="AR20" s="120">
        <f t="shared" si="6"/>
        <v>0</v>
      </c>
      <c r="AS20" s="120">
        <f t="shared" si="7"/>
        <v>0</v>
      </c>
      <c r="AT20" s="120">
        <f t="shared" si="8"/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5">
        <f t="shared" si="45"/>
        <v>0</v>
      </c>
      <c r="BX20" s="55">
        <f t="shared" si="46"/>
        <v>0</v>
      </c>
      <c r="BY20" s="55">
        <f t="shared" si="47"/>
        <v>0</v>
      </c>
      <c r="BZ20" s="55">
        <f t="shared" si="48"/>
        <v>0</v>
      </c>
      <c r="CA20" s="55">
        <f t="shared" si="49"/>
        <v>0</v>
      </c>
      <c r="CB20" s="55">
        <f t="shared" si="50"/>
        <v>0</v>
      </c>
      <c r="CC20" s="55">
        <f t="shared" si="51"/>
        <v>0</v>
      </c>
      <c r="CD20" s="111"/>
    </row>
    <row r="21" spans="1:82" s="63" customFormat="1" ht="30">
      <c r="A21" s="87" t="s">
        <v>392</v>
      </c>
      <c r="B21" s="86" t="s">
        <v>393</v>
      </c>
      <c r="C21" s="101" t="s">
        <v>385</v>
      </c>
      <c r="D21" s="101" t="s">
        <v>385</v>
      </c>
      <c r="E21" s="120">
        <f t="shared" si="37"/>
        <v>0.16</v>
      </c>
      <c r="F21" s="120">
        <f t="shared" si="38"/>
        <v>0</v>
      </c>
      <c r="G21" s="120">
        <f t="shared" si="39"/>
        <v>4.0199999999999996</v>
      </c>
      <c r="H21" s="120">
        <f t="shared" si="40"/>
        <v>0</v>
      </c>
      <c r="I21" s="120">
        <f t="shared" si="41"/>
        <v>0</v>
      </c>
      <c r="J21" s="120">
        <f t="shared" si="42"/>
        <v>0</v>
      </c>
      <c r="K21" s="120">
        <f t="shared" si="43"/>
        <v>0</v>
      </c>
      <c r="L21" s="5">
        <f t="shared" ref="L21:O21" si="56">L39</f>
        <v>0</v>
      </c>
      <c r="M21" s="5">
        <f t="shared" si="56"/>
        <v>0</v>
      </c>
      <c r="N21" s="5">
        <f t="shared" si="56"/>
        <v>0</v>
      </c>
      <c r="O21" s="5">
        <f t="shared" si="56"/>
        <v>0</v>
      </c>
      <c r="P21" s="5">
        <f>P39</f>
        <v>0</v>
      </c>
      <c r="Q21" s="5">
        <f t="shared" ref="Q21:AM21" si="57">Q39</f>
        <v>0</v>
      </c>
      <c r="R21" s="5">
        <f t="shared" si="57"/>
        <v>0</v>
      </c>
      <c r="S21" s="5">
        <f t="shared" si="57"/>
        <v>0</v>
      </c>
      <c r="T21" s="5">
        <f t="shared" si="57"/>
        <v>0</v>
      </c>
      <c r="U21" s="5">
        <f t="shared" si="57"/>
        <v>0</v>
      </c>
      <c r="V21" s="5">
        <f t="shared" si="57"/>
        <v>0</v>
      </c>
      <c r="W21" s="5">
        <f t="shared" si="57"/>
        <v>0</v>
      </c>
      <c r="X21" s="5">
        <f t="shared" si="57"/>
        <v>0</v>
      </c>
      <c r="Y21" s="5">
        <f t="shared" si="57"/>
        <v>0</v>
      </c>
      <c r="Z21" s="5">
        <f t="shared" si="57"/>
        <v>0</v>
      </c>
      <c r="AA21" s="5">
        <f t="shared" si="57"/>
        <v>0</v>
      </c>
      <c r="AB21" s="5">
        <f t="shared" si="57"/>
        <v>0</v>
      </c>
      <c r="AC21" s="5">
        <f t="shared" si="57"/>
        <v>0</v>
      </c>
      <c r="AD21" s="5">
        <f t="shared" si="57"/>
        <v>0</v>
      </c>
      <c r="AE21" s="5">
        <f t="shared" si="57"/>
        <v>0</v>
      </c>
      <c r="AF21" s="5">
        <f t="shared" si="57"/>
        <v>0</v>
      </c>
      <c r="AG21" s="5">
        <f t="shared" si="57"/>
        <v>0.16</v>
      </c>
      <c r="AH21" s="5">
        <f t="shared" si="57"/>
        <v>0</v>
      </c>
      <c r="AI21" s="5">
        <f t="shared" si="57"/>
        <v>4.0199999999999996</v>
      </c>
      <c r="AJ21" s="5">
        <f t="shared" si="57"/>
        <v>0</v>
      </c>
      <c r="AK21" s="5">
        <f t="shared" si="57"/>
        <v>0</v>
      </c>
      <c r="AL21" s="5">
        <f t="shared" si="57"/>
        <v>0</v>
      </c>
      <c r="AM21" s="5">
        <f t="shared" si="57"/>
        <v>0</v>
      </c>
      <c r="AN21" s="120">
        <f t="shared" si="44"/>
        <v>0</v>
      </c>
      <c r="AO21" s="120">
        <f t="shared" si="3"/>
        <v>0</v>
      </c>
      <c r="AP21" s="120">
        <f t="shared" si="4"/>
        <v>0</v>
      </c>
      <c r="AQ21" s="120">
        <f t="shared" si="5"/>
        <v>0</v>
      </c>
      <c r="AR21" s="120">
        <f t="shared" si="6"/>
        <v>0</v>
      </c>
      <c r="AS21" s="120">
        <f t="shared" si="7"/>
        <v>0</v>
      </c>
      <c r="AT21" s="120">
        <f t="shared" si="8"/>
        <v>0</v>
      </c>
      <c r="AU21" s="5">
        <f t="shared" ref="AU21:AX21" si="58">AU39</f>
        <v>0</v>
      </c>
      <c r="AV21" s="5">
        <f t="shared" si="58"/>
        <v>0</v>
      </c>
      <c r="AW21" s="5">
        <f t="shared" si="58"/>
        <v>0</v>
      </c>
      <c r="AX21" s="5">
        <f t="shared" si="58"/>
        <v>0</v>
      </c>
      <c r="AY21" s="5">
        <f>AY39</f>
        <v>0</v>
      </c>
      <c r="AZ21" s="5">
        <f t="shared" ref="AZ21:BV21" si="59">AZ39</f>
        <v>0</v>
      </c>
      <c r="BA21" s="5">
        <f t="shared" si="59"/>
        <v>0</v>
      </c>
      <c r="BB21" s="5">
        <f t="shared" si="59"/>
        <v>0</v>
      </c>
      <c r="BC21" s="5">
        <f t="shared" si="59"/>
        <v>0</v>
      </c>
      <c r="BD21" s="5">
        <f t="shared" si="59"/>
        <v>0</v>
      </c>
      <c r="BE21" s="5">
        <f t="shared" si="59"/>
        <v>0</v>
      </c>
      <c r="BF21" s="5">
        <f t="shared" si="59"/>
        <v>0</v>
      </c>
      <c r="BG21" s="5">
        <f t="shared" si="59"/>
        <v>0</v>
      </c>
      <c r="BH21" s="5">
        <f t="shared" si="59"/>
        <v>0</v>
      </c>
      <c r="BI21" s="5">
        <f t="shared" si="59"/>
        <v>0</v>
      </c>
      <c r="BJ21" s="5">
        <f t="shared" si="59"/>
        <v>0</v>
      </c>
      <c r="BK21" s="5">
        <f t="shared" si="59"/>
        <v>0</v>
      </c>
      <c r="BL21" s="5">
        <f t="shared" si="59"/>
        <v>0</v>
      </c>
      <c r="BM21" s="5">
        <f t="shared" si="59"/>
        <v>0</v>
      </c>
      <c r="BN21" s="5">
        <f t="shared" si="59"/>
        <v>0</v>
      </c>
      <c r="BO21" s="5">
        <f t="shared" si="59"/>
        <v>0</v>
      </c>
      <c r="BP21" s="5">
        <f t="shared" si="59"/>
        <v>0</v>
      </c>
      <c r="BQ21" s="5">
        <f t="shared" si="59"/>
        <v>0</v>
      </c>
      <c r="BR21" s="5">
        <f t="shared" si="59"/>
        <v>0</v>
      </c>
      <c r="BS21" s="5">
        <f t="shared" si="59"/>
        <v>0</v>
      </c>
      <c r="BT21" s="5">
        <f t="shared" si="59"/>
        <v>0</v>
      </c>
      <c r="BU21" s="5">
        <f t="shared" si="59"/>
        <v>0</v>
      </c>
      <c r="BV21" s="5">
        <f t="shared" si="59"/>
        <v>0</v>
      </c>
      <c r="BW21" s="55">
        <f t="shared" si="45"/>
        <v>0</v>
      </c>
      <c r="BX21" s="55">
        <f t="shared" si="46"/>
        <v>0</v>
      </c>
      <c r="BY21" s="55">
        <f t="shared" si="47"/>
        <v>0</v>
      </c>
      <c r="BZ21" s="55">
        <f t="shared" si="48"/>
        <v>0</v>
      </c>
      <c r="CA21" s="55">
        <f t="shared" si="49"/>
        <v>0</v>
      </c>
      <c r="CB21" s="55">
        <f t="shared" si="50"/>
        <v>0</v>
      </c>
      <c r="CC21" s="55">
        <f t="shared" si="51"/>
        <v>0</v>
      </c>
      <c r="CD21" s="111"/>
    </row>
    <row r="22" spans="1:82" s="63" customFormat="1" ht="45">
      <c r="A22" s="87" t="s">
        <v>394</v>
      </c>
      <c r="B22" s="86" t="s">
        <v>395</v>
      </c>
      <c r="C22" s="101" t="s">
        <v>385</v>
      </c>
      <c r="D22" s="101" t="s">
        <v>385</v>
      </c>
      <c r="E22" s="120">
        <f t="shared" si="37"/>
        <v>0</v>
      </c>
      <c r="F22" s="120">
        <f t="shared" si="38"/>
        <v>0</v>
      </c>
      <c r="G22" s="120">
        <f t="shared" si="39"/>
        <v>0</v>
      </c>
      <c r="H22" s="120">
        <f t="shared" si="40"/>
        <v>0</v>
      </c>
      <c r="I22" s="120">
        <f t="shared" si="41"/>
        <v>0</v>
      </c>
      <c r="J22" s="120">
        <f t="shared" si="42"/>
        <v>0</v>
      </c>
      <c r="K22" s="120">
        <f t="shared" si="43"/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120">
        <f t="shared" si="44"/>
        <v>0</v>
      </c>
      <c r="AO22" s="120">
        <f t="shared" si="3"/>
        <v>0</v>
      </c>
      <c r="AP22" s="120">
        <f t="shared" si="4"/>
        <v>0</v>
      </c>
      <c r="AQ22" s="120">
        <f t="shared" si="5"/>
        <v>0</v>
      </c>
      <c r="AR22" s="120">
        <f t="shared" si="6"/>
        <v>0</v>
      </c>
      <c r="AS22" s="120">
        <f t="shared" si="7"/>
        <v>0</v>
      </c>
      <c r="AT22" s="120">
        <f t="shared" si="8"/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5">
        <f t="shared" si="45"/>
        <v>0</v>
      </c>
      <c r="BX22" s="55">
        <f t="shared" si="46"/>
        <v>0</v>
      </c>
      <c r="BY22" s="55">
        <f t="shared" si="47"/>
        <v>0</v>
      </c>
      <c r="BZ22" s="55">
        <f t="shared" si="48"/>
        <v>0</v>
      </c>
      <c r="CA22" s="55">
        <f t="shared" si="49"/>
        <v>0</v>
      </c>
      <c r="CB22" s="55">
        <f t="shared" si="50"/>
        <v>0</v>
      </c>
      <c r="CC22" s="55">
        <f t="shared" si="51"/>
        <v>0</v>
      </c>
      <c r="CD22" s="111"/>
    </row>
    <row r="23" spans="1:82" s="63" customFormat="1" ht="15.75">
      <c r="A23" s="87" t="s">
        <v>396</v>
      </c>
      <c r="B23" s="86" t="s">
        <v>397</v>
      </c>
      <c r="C23" s="101" t="s">
        <v>385</v>
      </c>
      <c r="D23" s="101" t="s">
        <v>385</v>
      </c>
      <c r="E23" s="120">
        <f t="shared" si="37"/>
        <v>0</v>
      </c>
      <c r="F23" s="120">
        <f t="shared" si="38"/>
        <v>0</v>
      </c>
      <c r="G23" s="120">
        <f t="shared" si="39"/>
        <v>0</v>
      </c>
      <c r="H23" s="120">
        <f t="shared" si="40"/>
        <v>0</v>
      </c>
      <c r="I23" s="120">
        <f t="shared" si="41"/>
        <v>0</v>
      </c>
      <c r="J23" s="120">
        <f t="shared" si="42"/>
        <v>0</v>
      </c>
      <c r="K23" s="120">
        <f t="shared" si="43"/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120">
        <f t="shared" si="44"/>
        <v>0</v>
      </c>
      <c r="AO23" s="120">
        <f t="shared" si="3"/>
        <v>0</v>
      </c>
      <c r="AP23" s="120">
        <f t="shared" si="4"/>
        <v>0</v>
      </c>
      <c r="AQ23" s="120">
        <f t="shared" si="5"/>
        <v>0</v>
      </c>
      <c r="AR23" s="120">
        <f t="shared" si="6"/>
        <v>0</v>
      </c>
      <c r="AS23" s="120">
        <f t="shared" si="7"/>
        <v>0</v>
      </c>
      <c r="AT23" s="120">
        <f t="shared" si="8"/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5">
        <f t="shared" si="45"/>
        <v>0</v>
      </c>
      <c r="BX23" s="55">
        <f t="shared" si="46"/>
        <v>0</v>
      </c>
      <c r="BY23" s="55">
        <f t="shared" si="47"/>
        <v>0</v>
      </c>
      <c r="BZ23" s="55">
        <f t="shared" si="48"/>
        <v>0</v>
      </c>
      <c r="CA23" s="55">
        <f t="shared" si="49"/>
        <v>0</v>
      </c>
      <c r="CB23" s="55">
        <f t="shared" si="50"/>
        <v>0</v>
      </c>
      <c r="CC23" s="55">
        <f t="shared" si="51"/>
        <v>0</v>
      </c>
      <c r="CD23" s="111"/>
    </row>
    <row r="24" spans="1:82" s="63" customFormat="1" ht="15.75">
      <c r="A24" s="89" t="s">
        <v>398</v>
      </c>
      <c r="B24" s="90" t="s">
        <v>399</v>
      </c>
      <c r="C24" s="101" t="s">
        <v>385</v>
      </c>
      <c r="D24" s="101" t="s">
        <v>385</v>
      </c>
      <c r="E24" s="55">
        <f t="shared" si="37"/>
        <v>0.16</v>
      </c>
      <c r="F24" s="55">
        <f t="shared" si="38"/>
        <v>0</v>
      </c>
      <c r="G24" s="119">
        <f t="shared" si="39"/>
        <v>13.125</v>
      </c>
      <c r="H24" s="55">
        <f t="shared" si="40"/>
        <v>0</v>
      </c>
      <c r="I24" s="55">
        <f t="shared" si="41"/>
        <v>0</v>
      </c>
      <c r="J24" s="55">
        <f t="shared" si="42"/>
        <v>0</v>
      </c>
      <c r="K24" s="55">
        <f t="shared" si="43"/>
        <v>227</v>
      </c>
      <c r="L24" s="5">
        <f t="shared" ref="L24:O24" si="60">L25+L39</f>
        <v>0</v>
      </c>
      <c r="M24" s="5">
        <f t="shared" si="60"/>
        <v>0</v>
      </c>
      <c r="N24" s="5">
        <f t="shared" si="60"/>
        <v>0</v>
      </c>
      <c r="O24" s="5">
        <f t="shared" si="60"/>
        <v>0</v>
      </c>
      <c r="P24" s="5">
        <f>P25+P39</f>
        <v>0</v>
      </c>
      <c r="Q24" s="5">
        <f t="shared" ref="Q24:AM24" si="61">Q25+Q39</f>
        <v>0</v>
      </c>
      <c r="R24" s="5">
        <f t="shared" si="61"/>
        <v>0</v>
      </c>
      <c r="S24" s="5">
        <f t="shared" si="61"/>
        <v>0</v>
      </c>
      <c r="T24" s="5">
        <f t="shared" si="61"/>
        <v>0</v>
      </c>
      <c r="U24" s="5">
        <f t="shared" si="61"/>
        <v>0</v>
      </c>
      <c r="V24" s="5">
        <f t="shared" si="61"/>
        <v>0</v>
      </c>
      <c r="W24" s="5">
        <f t="shared" si="61"/>
        <v>0</v>
      </c>
      <c r="X24" s="5">
        <f t="shared" si="61"/>
        <v>0</v>
      </c>
      <c r="Y24" s="5">
        <f t="shared" si="61"/>
        <v>0</v>
      </c>
      <c r="Z24" s="5">
        <f t="shared" si="61"/>
        <v>0</v>
      </c>
      <c r="AA24" s="5">
        <f t="shared" si="61"/>
        <v>0</v>
      </c>
      <c r="AB24" s="5">
        <f t="shared" si="61"/>
        <v>0</v>
      </c>
      <c r="AC24" s="5">
        <f t="shared" si="61"/>
        <v>0</v>
      </c>
      <c r="AD24" s="5">
        <f t="shared" si="61"/>
        <v>0</v>
      </c>
      <c r="AE24" s="5">
        <f t="shared" si="61"/>
        <v>0</v>
      </c>
      <c r="AF24" s="5">
        <f t="shared" si="61"/>
        <v>0</v>
      </c>
      <c r="AG24" s="5">
        <f t="shared" si="61"/>
        <v>0.16</v>
      </c>
      <c r="AH24" s="5">
        <f t="shared" si="61"/>
        <v>0</v>
      </c>
      <c r="AI24" s="5">
        <f t="shared" si="61"/>
        <v>13.125</v>
      </c>
      <c r="AJ24" s="5">
        <f t="shared" si="61"/>
        <v>0</v>
      </c>
      <c r="AK24" s="5">
        <f t="shared" si="61"/>
        <v>0</v>
      </c>
      <c r="AL24" s="5">
        <f t="shared" si="61"/>
        <v>0</v>
      </c>
      <c r="AM24" s="5">
        <f t="shared" si="61"/>
        <v>227</v>
      </c>
      <c r="AN24" s="55">
        <f t="shared" si="44"/>
        <v>0</v>
      </c>
      <c r="AO24" s="55">
        <f t="shared" si="3"/>
        <v>0</v>
      </c>
      <c r="AP24" s="55">
        <f t="shared" si="4"/>
        <v>0</v>
      </c>
      <c r="AQ24" s="55">
        <f t="shared" si="5"/>
        <v>0</v>
      </c>
      <c r="AR24" s="55">
        <f t="shared" si="6"/>
        <v>0</v>
      </c>
      <c r="AS24" s="55">
        <f t="shared" si="7"/>
        <v>0</v>
      </c>
      <c r="AT24" s="55">
        <f t="shared" si="8"/>
        <v>0</v>
      </c>
      <c r="AU24" s="5">
        <f t="shared" ref="AU24" si="62">AU25+AU39</f>
        <v>0</v>
      </c>
      <c r="AV24" s="5">
        <f t="shared" ref="AV24" si="63">AV25+AV39</f>
        <v>0</v>
      </c>
      <c r="AW24" s="5">
        <f t="shared" ref="AW24" si="64">AW25+AW39</f>
        <v>0</v>
      </c>
      <c r="AX24" s="5">
        <f t="shared" ref="AX24" si="65">AX25+AX39</f>
        <v>0</v>
      </c>
      <c r="AY24" s="5">
        <f>AY25+AY39</f>
        <v>0</v>
      </c>
      <c r="AZ24" s="5">
        <f t="shared" ref="AZ24" si="66">AZ25+AZ39</f>
        <v>0</v>
      </c>
      <c r="BA24" s="5">
        <f t="shared" ref="BA24" si="67">BA25+BA39</f>
        <v>0</v>
      </c>
      <c r="BB24" s="5">
        <f t="shared" ref="BB24" si="68">BB25+BB39</f>
        <v>0</v>
      </c>
      <c r="BC24" s="5">
        <f t="shared" ref="BC24" si="69">BC25+BC39</f>
        <v>0</v>
      </c>
      <c r="BD24" s="5">
        <f t="shared" ref="BD24" si="70">BD25+BD39</f>
        <v>0</v>
      </c>
      <c r="BE24" s="5">
        <f t="shared" ref="BE24" si="71">BE25+BE39</f>
        <v>0</v>
      </c>
      <c r="BF24" s="5">
        <f t="shared" ref="BF24" si="72">BF25+BF39</f>
        <v>0</v>
      </c>
      <c r="BG24" s="5">
        <f t="shared" ref="BG24" si="73">BG25+BG39</f>
        <v>0</v>
      </c>
      <c r="BH24" s="5">
        <f t="shared" ref="BH24" si="74">BH25+BH39</f>
        <v>0</v>
      </c>
      <c r="BI24" s="5">
        <f t="shared" ref="BI24" si="75">BI25+BI39</f>
        <v>0</v>
      </c>
      <c r="BJ24" s="5">
        <f t="shared" ref="BJ24" si="76">BJ25+BJ39</f>
        <v>0</v>
      </c>
      <c r="BK24" s="5">
        <f t="shared" ref="BK24" si="77">BK25+BK39</f>
        <v>0</v>
      </c>
      <c r="BL24" s="5">
        <f t="shared" ref="BL24" si="78">BL25+BL39</f>
        <v>0</v>
      </c>
      <c r="BM24" s="5">
        <f t="shared" ref="BM24" si="79">BM25+BM39</f>
        <v>0</v>
      </c>
      <c r="BN24" s="5">
        <f t="shared" ref="BN24" si="80">BN25+BN39</f>
        <v>0</v>
      </c>
      <c r="BO24" s="5">
        <f t="shared" ref="BO24" si="81">BO25+BO39</f>
        <v>0</v>
      </c>
      <c r="BP24" s="5">
        <f t="shared" ref="BP24" si="82">BP25+BP39</f>
        <v>0</v>
      </c>
      <c r="BQ24" s="5">
        <f t="shared" ref="BQ24" si="83">BQ25+BQ39</f>
        <v>0</v>
      </c>
      <c r="BR24" s="5">
        <f t="shared" ref="BR24" si="84">BR25+BR39</f>
        <v>0</v>
      </c>
      <c r="BS24" s="5">
        <f t="shared" ref="BS24" si="85">BS25+BS39</f>
        <v>0</v>
      </c>
      <c r="BT24" s="5">
        <f t="shared" ref="BT24" si="86">BT25+BT39</f>
        <v>0</v>
      </c>
      <c r="BU24" s="5">
        <f t="shared" ref="BU24" si="87">BU25+BU39</f>
        <v>0</v>
      </c>
      <c r="BV24" s="5">
        <f t="shared" ref="BV24" si="88">BV25+BV39</f>
        <v>0</v>
      </c>
      <c r="BW24" s="55">
        <f t="shared" si="45"/>
        <v>0</v>
      </c>
      <c r="BX24" s="55">
        <f t="shared" si="46"/>
        <v>0</v>
      </c>
      <c r="BY24" s="55">
        <f t="shared" si="47"/>
        <v>0</v>
      </c>
      <c r="BZ24" s="55">
        <f t="shared" si="48"/>
        <v>0</v>
      </c>
      <c r="CA24" s="55">
        <f t="shared" si="49"/>
        <v>0</v>
      </c>
      <c r="CB24" s="55">
        <f t="shared" si="50"/>
        <v>0</v>
      </c>
      <c r="CC24" s="55">
        <f t="shared" si="51"/>
        <v>0</v>
      </c>
      <c r="CD24" s="111"/>
    </row>
    <row r="25" spans="1:82" s="63" customFormat="1" ht="42.75">
      <c r="A25" s="89" t="s">
        <v>400</v>
      </c>
      <c r="B25" s="90" t="s">
        <v>401</v>
      </c>
      <c r="C25" s="101" t="s">
        <v>385</v>
      </c>
      <c r="D25" s="101" t="s">
        <v>385</v>
      </c>
      <c r="E25" s="55">
        <f t="shared" si="37"/>
        <v>0</v>
      </c>
      <c r="F25" s="55">
        <f t="shared" si="38"/>
        <v>0</v>
      </c>
      <c r="G25" s="119">
        <f t="shared" si="39"/>
        <v>9.1050000000000004</v>
      </c>
      <c r="H25" s="55">
        <f t="shared" si="40"/>
        <v>0</v>
      </c>
      <c r="I25" s="55">
        <f t="shared" si="41"/>
        <v>0</v>
      </c>
      <c r="J25" s="55">
        <f t="shared" si="42"/>
        <v>0</v>
      </c>
      <c r="K25" s="55">
        <f t="shared" si="43"/>
        <v>227</v>
      </c>
      <c r="L25" s="5">
        <f t="shared" ref="L25:O25" si="89">L26+L28+L35</f>
        <v>0</v>
      </c>
      <c r="M25" s="5">
        <f t="shared" si="89"/>
        <v>0</v>
      </c>
      <c r="N25" s="5">
        <f t="shared" si="89"/>
        <v>0</v>
      </c>
      <c r="O25" s="5">
        <f t="shared" si="89"/>
        <v>0</v>
      </c>
      <c r="P25" s="5">
        <f>P26+P28+P35</f>
        <v>0</v>
      </c>
      <c r="Q25" s="5">
        <f t="shared" ref="Q25:AM25" si="90">Q26+Q28+Q35</f>
        <v>0</v>
      </c>
      <c r="R25" s="5">
        <f t="shared" si="90"/>
        <v>0</v>
      </c>
      <c r="S25" s="5">
        <f t="shared" si="90"/>
        <v>0</v>
      </c>
      <c r="T25" s="5">
        <f t="shared" si="90"/>
        <v>0</v>
      </c>
      <c r="U25" s="5">
        <f t="shared" si="90"/>
        <v>0</v>
      </c>
      <c r="V25" s="5">
        <f t="shared" si="90"/>
        <v>0</v>
      </c>
      <c r="W25" s="5">
        <f t="shared" si="90"/>
        <v>0</v>
      </c>
      <c r="X25" s="5">
        <f t="shared" si="90"/>
        <v>0</v>
      </c>
      <c r="Y25" s="5">
        <f t="shared" si="90"/>
        <v>0</v>
      </c>
      <c r="Z25" s="5">
        <f t="shared" si="90"/>
        <v>0</v>
      </c>
      <c r="AA25" s="5">
        <f t="shared" si="90"/>
        <v>0</v>
      </c>
      <c r="AB25" s="5">
        <f t="shared" si="90"/>
        <v>0</v>
      </c>
      <c r="AC25" s="5">
        <f t="shared" si="90"/>
        <v>0</v>
      </c>
      <c r="AD25" s="5">
        <f t="shared" si="90"/>
        <v>0</v>
      </c>
      <c r="AE25" s="5">
        <f t="shared" si="90"/>
        <v>0</v>
      </c>
      <c r="AF25" s="5">
        <f t="shared" si="90"/>
        <v>0</v>
      </c>
      <c r="AG25" s="5">
        <f t="shared" si="90"/>
        <v>0</v>
      </c>
      <c r="AH25" s="5">
        <f t="shared" si="90"/>
        <v>0</v>
      </c>
      <c r="AI25" s="5">
        <f t="shared" si="90"/>
        <v>9.1050000000000004</v>
      </c>
      <c r="AJ25" s="5">
        <f t="shared" si="90"/>
        <v>0</v>
      </c>
      <c r="AK25" s="5">
        <f t="shared" si="90"/>
        <v>0</v>
      </c>
      <c r="AL25" s="5">
        <f t="shared" si="90"/>
        <v>0</v>
      </c>
      <c r="AM25" s="5">
        <f t="shared" si="90"/>
        <v>227</v>
      </c>
      <c r="AN25" s="55">
        <f t="shared" si="44"/>
        <v>0</v>
      </c>
      <c r="AO25" s="55">
        <f t="shared" si="3"/>
        <v>0</v>
      </c>
      <c r="AP25" s="55">
        <f t="shared" si="4"/>
        <v>0</v>
      </c>
      <c r="AQ25" s="55">
        <f t="shared" si="5"/>
        <v>0</v>
      </c>
      <c r="AR25" s="55">
        <f t="shared" si="6"/>
        <v>0</v>
      </c>
      <c r="AS25" s="55">
        <f t="shared" si="7"/>
        <v>0</v>
      </c>
      <c r="AT25" s="55">
        <f t="shared" si="8"/>
        <v>0</v>
      </c>
      <c r="AU25" s="5">
        <f t="shared" ref="AU25" si="91">AU26+AU28+AU35</f>
        <v>0</v>
      </c>
      <c r="AV25" s="5">
        <f t="shared" ref="AV25" si="92">AV26+AV28+AV35</f>
        <v>0</v>
      </c>
      <c r="AW25" s="5">
        <f t="shared" ref="AW25" si="93">AW26+AW28+AW35</f>
        <v>0</v>
      </c>
      <c r="AX25" s="5">
        <f t="shared" ref="AX25" si="94">AX26+AX28+AX35</f>
        <v>0</v>
      </c>
      <c r="AY25" s="5">
        <f>AY26+AY28+AY35</f>
        <v>0</v>
      </c>
      <c r="AZ25" s="5">
        <f t="shared" ref="AZ25" si="95">AZ26+AZ28+AZ35</f>
        <v>0</v>
      </c>
      <c r="BA25" s="5">
        <f t="shared" ref="BA25" si="96">BA26+BA28+BA35</f>
        <v>0</v>
      </c>
      <c r="BB25" s="5">
        <f t="shared" ref="BB25" si="97">BB26+BB28+BB35</f>
        <v>0</v>
      </c>
      <c r="BC25" s="5">
        <f t="shared" ref="BC25" si="98">BC26+BC28+BC35</f>
        <v>0</v>
      </c>
      <c r="BD25" s="5">
        <f t="shared" ref="BD25" si="99">BD26+BD28+BD35</f>
        <v>0</v>
      </c>
      <c r="BE25" s="5">
        <f t="shared" ref="BE25" si="100">BE26+BE28+BE35</f>
        <v>0</v>
      </c>
      <c r="BF25" s="5">
        <f t="shared" ref="BF25" si="101">BF26+BF28+BF35</f>
        <v>0</v>
      </c>
      <c r="BG25" s="5">
        <f t="shared" ref="BG25" si="102">BG26+BG28+BG35</f>
        <v>0</v>
      </c>
      <c r="BH25" s="5">
        <f t="shared" ref="BH25" si="103">BH26+BH28+BH35</f>
        <v>0</v>
      </c>
      <c r="BI25" s="5">
        <f t="shared" ref="BI25" si="104">BI26+BI28+BI35</f>
        <v>0</v>
      </c>
      <c r="BJ25" s="5">
        <f t="shared" ref="BJ25" si="105">BJ26+BJ28+BJ35</f>
        <v>0</v>
      </c>
      <c r="BK25" s="5">
        <f t="shared" ref="BK25" si="106">BK26+BK28+BK35</f>
        <v>0</v>
      </c>
      <c r="BL25" s="5">
        <f t="shared" ref="BL25" si="107">BL26+BL28+BL35</f>
        <v>0</v>
      </c>
      <c r="BM25" s="5">
        <f t="shared" ref="BM25" si="108">BM26+BM28+BM35</f>
        <v>0</v>
      </c>
      <c r="BN25" s="5">
        <f t="shared" ref="BN25" si="109">BN26+BN28+BN35</f>
        <v>0</v>
      </c>
      <c r="BO25" s="5">
        <f t="shared" ref="BO25" si="110">BO26+BO28+BO35</f>
        <v>0</v>
      </c>
      <c r="BP25" s="5">
        <f t="shared" ref="BP25" si="111">BP26+BP28+BP35</f>
        <v>0</v>
      </c>
      <c r="BQ25" s="5">
        <f t="shared" ref="BQ25" si="112">BQ26+BQ28+BQ35</f>
        <v>0</v>
      </c>
      <c r="BR25" s="5">
        <f t="shared" ref="BR25" si="113">BR26+BR28+BR35</f>
        <v>0</v>
      </c>
      <c r="BS25" s="5">
        <f t="shared" ref="BS25" si="114">BS26+BS28+BS35</f>
        <v>0</v>
      </c>
      <c r="BT25" s="5">
        <f t="shared" ref="BT25" si="115">BT26+BT28+BT35</f>
        <v>0</v>
      </c>
      <c r="BU25" s="5">
        <f t="shared" ref="BU25" si="116">BU26+BU28+BU35</f>
        <v>0</v>
      </c>
      <c r="BV25" s="5">
        <f t="shared" ref="BV25" si="117">BV26+BV28+BV35</f>
        <v>0</v>
      </c>
      <c r="BW25" s="55">
        <f t="shared" si="45"/>
        <v>0</v>
      </c>
      <c r="BX25" s="55">
        <f t="shared" si="46"/>
        <v>0</v>
      </c>
      <c r="BY25" s="55">
        <f t="shared" si="47"/>
        <v>0</v>
      </c>
      <c r="BZ25" s="55">
        <f t="shared" si="48"/>
        <v>0</v>
      </c>
      <c r="CA25" s="55">
        <f t="shared" si="49"/>
        <v>0</v>
      </c>
      <c r="CB25" s="55">
        <f t="shared" si="50"/>
        <v>0</v>
      </c>
      <c r="CC25" s="55">
        <f t="shared" si="51"/>
        <v>0</v>
      </c>
      <c r="CD25" s="111"/>
    </row>
    <row r="26" spans="1:82" s="63" customFormat="1" ht="60">
      <c r="A26" s="89" t="s">
        <v>402</v>
      </c>
      <c r="B26" s="86" t="s">
        <v>403</v>
      </c>
      <c r="C26" s="101" t="s">
        <v>385</v>
      </c>
      <c r="D26" s="101" t="s">
        <v>385</v>
      </c>
      <c r="E26" s="120">
        <f t="shared" si="37"/>
        <v>0</v>
      </c>
      <c r="F26" s="120">
        <f t="shared" si="38"/>
        <v>0</v>
      </c>
      <c r="G26" s="120">
        <f t="shared" si="39"/>
        <v>0</v>
      </c>
      <c r="H26" s="120">
        <f t="shared" si="40"/>
        <v>0</v>
      </c>
      <c r="I26" s="120">
        <f t="shared" si="41"/>
        <v>0</v>
      </c>
      <c r="J26" s="120">
        <f t="shared" si="42"/>
        <v>0</v>
      </c>
      <c r="K26" s="120">
        <f t="shared" si="43"/>
        <v>0</v>
      </c>
      <c r="L26" s="5">
        <f t="shared" ref="L26:O26" si="118">L27</f>
        <v>0</v>
      </c>
      <c r="M26" s="5">
        <f t="shared" si="118"/>
        <v>0</v>
      </c>
      <c r="N26" s="5">
        <f t="shared" si="118"/>
        <v>0</v>
      </c>
      <c r="O26" s="5">
        <f t="shared" si="118"/>
        <v>0</v>
      </c>
      <c r="P26" s="5">
        <f>P27</f>
        <v>0</v>
      </c>
      <c r="Q26" s="5">
        <f t="shared" ref="Q26:AM26" si="119">Q27</f>
        <v>0</v>
      </c>
      <c r="R26" s="5">
        <f t="shared" si="119"/>
        <v>0</v>
      </c>
      <c r="S26" s="5">
        <f t="shared" si="119"/>
        <v>0</v>
      </c>
      <c r="T26" s="5">
        <f t="shared" si="119"/>
        <v>0</v>
      </c>
      <c r="U26" s="5">
        <f t="shared" si="119"/>
        <v>0</v>
      </c>
      <c r="V26" s="5">
        <f t="shared" si="119"/>
        <v>0</v>
      </c>
      <c r="W26" s="5">
        <f t="shared" si="119"/>
        <v>0</v>
      </c>
      <c r="X26" s="5">
        <f t="shared" si="119"/>
        <v>0</v>
      </c>
      <c r="Y26" s="5">
        <f t="shared" si="119"/>
        <v>0</v>
      </c>
      <c r="Z26" s="5">
        <f t="shared" si="119"/>
        <v>0</v>
      </c>
      <c r="AA26" s="5">
        <f t="shared" si="119"/>
        <v>0</v>
      </c>
      <c r="AB26" s="5">
        <f t="shared" si="119"/>
        <v>0</v>
      </c>
      <c r="AC26" s="5">
        <f t="shared" si="119"/>
        <v>0</v>
      </c>
      <c r="AD26" s="5">
        <f t="shared" si="119"/>
        <v>0</v>
      </c>
      <c r="AE26" s="5">
        <f t="shared" si="119"/>
        <v>0</v>
      </c>
      <c r="AF26" s="5">
        <f t="shared" si="119"/>
        <v>0</v>
      </c>
      <c r="AG26" s="5">
        <f t="shared" si="119"/>
        <v>0</v>
      </c>
      <c r="AH26" s="5">
        <f t="shared" si="119"/>
        <v>0</v>
      </c>
      <c r="AI26" s="5">
        <f t="shared" si="119"/>
        <v>0</v>
      </c>
      <c r="AJ26" s="5">
        <f t="shared" si="119"/>
        <v>0</v>
      </c>
      <c r="AK26" s="5">
        <f t="shared" si="119"/>
        <v>0</v>
      </c>
      <c r="AL26" s="5">
        <f t="shared" si="119"/>
        <v>0</v>
      </c>
      <c r="AM26" s="5">
        <f t="shared" si="119"/>
        <v>0</v>
      </c>
      <c r="AN26" s="120">
        <f t="shared" si="44"/>
        <v>0</v>
      </c>
      <c r="AO26" s="120">
        <f t="shared" si="3"/>
        <v>0</v>
      </c>
      <c r="AP26" s="120">
        <f t="shared" si="4"/>
        <v>0</v>
      </c>
      <c r="AQ26" s="120">
        <f t="shared" si="5"/>
        <v>0</v>
      </c>
      <c r="AR26" s="120">
        <f t="shared" si="6"/>
        <v>0</v>
      </c>
      <c r="AS26" s="120">
        <f t="shared" si="7"/>
        <v>0</v>
      </c>
      <c r="AT26" s="120">
        <f t="shared" si="8"/>
        <v>0</v>
      </c>
      <c r="AU26" s="5">
        <f t="shared" ref="AU26" si="120">AU27</f>
        <v>0</v>
      </c>
      <c r="AV26" s="5">
        <f t="shared" ref="AV26" si="121">AV27</f>
        <v>0</v>
      </c>
      <c r="AW26" s="5">
        <f t="shared" ref="AW26" si="122">AW27</f>
        <v>0</v>
      </c>
      <c r="AX26" s="5">
        <f t="shared" ref="AX26" si="123">AX27</f>
        <v>0</v>
      </c>
      <c r="AY26" s="5">
        <f>AY27</f>
        <v>0</v>
      </c>
      <c r="AZ26" s="5">
        <f t="shared" ref="AZ26" si="124">AZ27</f>
        <v>0</v>
      </c>
      <c r="BA26" s="5">
        <f t="shared" ref="BA26" si="125">BA27</f>
        <v>0</v>
      </c>
      <c r="BB26" s="5">
        <f t="shared" ref="BB26" si="126">BB27</f>
        <v>0</v>
      </c>
      <c r="BC26" s="5">
        <f t="shared" ref="BC26" si="127">BC27</f>
        <v>0</v>
      </c>
      <c r="BD26" s="5">
        <f t="shared" ref="BD26" si="128">BD27</f>
        <v>0</v>
      </c>
      <c r="BE26" s="5">
        <f t="shared" ref="BE26" si="129">BE27</f>
        <v>0</v>
      </c>
      <c r="BF26" s="5">
        <f t="shared" ref="BF26" si="130">BF27</f>
        <v>0</v>
      </c>
      <c r="BG26" s="5">
        <f t="shared" ref="BG26" si="131">BG27</f>
        <v>0</v>
      </c>
      <c r="BH26" s="5">
        <f t="shared" ref="BH26" si="132">BH27</f>
        <v>0</v>
      </c>
      <c r="BI26" s="5">
        <f t="shared" ref="BI26" si="133">BI27</f>
        <v>0</v>
      </c>
      <c r="BJ26" s="5">
        <f t="shared" ref="BJ26" si="134">BJ27</f>
        <v>0</v>
      </c>
      <c r="BK26" s="5">
        <f t="shared" ref="BK26" si="135">BK27</f>
        <v>0</v>
      </c>
      <c r="BL26" s="5">
        <f t="shared" ref="BL26" si="136">BL27</f>
        <v>0</v>
      </c>
      <c r="BM26" s="5">
        <f t="shared" ref="BM26" si="137">BM27</f>
        <v>0</v>
      </c>
      <c r="BN26" s="5">
        <f t="shared" ref="BN26" si="138">BN27</f>
        <v>0</v>
      </c>
      <c r="BO26" s="5">
        <f t="shared" ref="BO26" si="139">BO27</f>
        <v>0</v>
      </c>
      <c r="BP26" s="5">
        <f t="shared" ref="BP26" si="140">BP27</f>
        <v>0</v>
      </c>
      <c r="BQ26" s="5">
        <f t="shared" ref="BQ26" si="141">BQ27</f>
        <v>0</v>
      </c>
      <c r="BR26" s="5">
        <f t="shared" ref="BR26" si="142">BR27</f>
        <v>0</v>
      </c>
      <c r="BS26" s="5">
        <f t="shared" ref="BS26" si="143">BS27</f>
        <v>0</v>
      </c>
      <c r="BT26" s="5">
        <f t="shared" ref="BT26" si="144">BT27</f>
        <v>0</v>
      </c>
      <c r="BU26" s="5">
        <f t="shared" ref="BU26" si="145">BU27</f>
        <v>0</v>
      </c>
      <c r="BV26" s="5">
        <f t="shared" ref="BV26" si="146">BV27</f>
        <v>0</v>
      </c>
      <c r="BW26" s="55">
        <f t="shared" si="45"/>
        <v>0</v>
      </c>
      <c r="BX26" s="55">
        <f t="shared" si="46"/>
        <v>0</v>
      </c>
      <c r="BY26" s="55">
        <f t="shared" si="47"/>
        <v>0</v>
      </c>
      <c r="BZ26" s="55">
        <f t="shared" si="48"/>
        <v>0</v>
      </c>
      <c r="CA26" s="55">
        <f t="shared" si="49"/>
        <v>0</v>
      </c>
      <c r="CB26" s="55">
        <f t="shared" si="50"/>
        <v>0</v>
      </c>
      <c r="CC26" s="55">
        <f t="shared" si="51"/>
        <v>0</v>
      </c>
      <c r="CD26" s="111"/>
    </row>
    <row r="27" spans="1:82" s="63" customFormat="1" ht="30">
      <c r="A27" s="87" t="s">
        <v>404</v>
      </c>
      <c r="B27" s="86" t="s">
        <v>405</v>
      </c>
      <c r="C27" s="101" t="s">
        <v>385</v>
      </c>
      <c r="D27" s="101" t="s">
        <v>385</v>
      </c>
      <c r="E27" s="120">
        <f t="shared" si="37"/>
        <v>0</v>
      </c>
      <c r="F27" s="120">
        <f t="shared" si="38"/>
        <v>0</v>
      </c>
      <c r="G27" s="120">
        <f t="shared" si="39"/>
        <v>0</v>
      </c>
      <c r="H27" s="120">
        <f t="shared" si="40"/>
        <v>0</v>
      </c>
      <c r="I27" s="120">
        <f t="shared" si="41"/>
        <v>0</v>
      </c>
      <c r="J27" s="120">
        <f t="shared" si="42"/>
        <v>0</v>
      </c>
      <c r="K27" s="120">
        <f t="shared" si="43"/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120">
        <f t="shared" si="44"/>
        <v>0</v>
      </c>
      <c r="AO27" s="120">
        <f t="shared" si="3"/>
        <v>0</v>
      </c>
      <c r="AP27" s="120">
        <f t="shared" si="4"/>
        <v>0</v>
      </c>
      <c r="AQ27" s="120">
        <f t="shared" si="5"/>
        <v>0</v>
      </c>
      <c r="AR27" s="120">
        <f t="shared" si="6"/>
        <v>0</v>
      </c>
      <c r="AS27" s="120">
        <f t="shared" si="7"/>
        <v>0</v>
      </c>
      <c r="AT27" s="120">
        <f t="shared" si="8"/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5">
        <f t="shared" si="45"/>
        <v>0</v>
      </c>
      <c r="BX27" s="55">
        <f t="shared" si="46"/>
        <v>0</v>
      </c>
      <c r="BY27" s="55">
        <f t="shared" si="47"/>
        <v>0</v>
      </c>
      <c r="BZ27" s="55">
        <f t="shared" si="48"/>
        <v>0</v>
      </c>
      <c r="CA27" s="55">
        <f t="shared" si="49"/>
        <v>0</v>
      </c>
      <c r="CB27" s="55">
        <f t="shared" si="50"/>
        <v>0</v>
      </c>
      <c r="CC27" s="55">
        <f t="shared" si="51"/>
        <v>0</v>
      </c>
      <c r="CD27" s="111"/>
    </row>
    <row r="28" spans="1:82" s="63" customFormat="1" ht="45">
      <c r="A28" s="89" t="s">
        <v>406</v>
      </c>
      <c r="B28" s="86" t="s">
        <v>407</v>
      </c>
      <c r="C28" s="101" t="s">
        <v>385</v>
      </c>
      <c r="D28" s="101" t="s">
        <v>385</v>
      </c>
      <c r="E28" s="120">
        <f t="shared" si="37"/>
        <v>0</v>
      </c>
      <c r="F28" s="120">
        <f t="shared" si="38"/>
        <v>0</v>
      </c>
      <c r="G28" s="277">
        <f t="shared" si="39"/>
        <v>9.1050000000000004</v>
      </c>
      <c r="H28" s="120">
        <f t="shared" si="40"/>
        <v>0</v>
      </c>
      <c r="I28" s="120">
        <f t="shared" si="41"/>
        <v>0</v>
      </c>
      <c r="J28" s="120">
        <f t="shared" si="42"/>
        <v>0</v>
      </c>
      <c r="K28" s="120">
        <f t="shared" si="43"/>
        <v>0</v>
      </c>
      <c r="L28" s="5">
        <f t="shared" ref="L28:O28" si="147">L29+L33</f>
        <v>0</v>
      </c>
      <c r="M28" s="5">
        <f t="shared" si="147"/>
        <v>0</v>
      </c>
      <c r="N28" s="5">
        <f t="shared" si="147"/>
        <v>0</v>
      </c>
      <c r="O28" s="5">
        <f t="shared" si="147"/>
        <v>0</v>
      </c>
      <c r="P28" s="5">
        <f>P29+P33</f>
        <v>0</v>
      </c>
      <c r="Q28" s="5">
        <f t="shared" ref="Q28:AM28" si="148">Q29+Q33</f>
        <v>0</v>
      </c>
      <c r="R28" s="5">
        <f t="shared" si="148"/>
        <v>0</v>
      </c>
      <c r="S28" s="5">
        <f t="shared" si="148"/>
        <v>0</v>
      </c>
      <c r="T28" s="5">
        <f t="shared" si="148"/>
        <v>0</v>
      </c>
      <c r="U28" s="5">
        <f t="shared" si="148"/>
        <v>0</v>
      </c>
      <c r="V28" s="5">
        <f t="shared" si="148"/>
        <v>0</v>
      </c>
      <c r="W28" s="5">
        <f t="shared" si="148"/>
        <v>0</v>
      </c>
      <c r="X28" s="5">
        <f t="shared" si="148"/>
        <v>0</v>
      </c>
      <c r="Y28" s="5">
        <f t="shared" si="148"/>
        <v>0</v>
      </c>
      <c r="Z28" s="5">
        <f t="shared" si="148"/>
        <v>0</v>
      </c>
      <c r="AA28" s="5">
        <f t="shared" si="148"/>
        <v>0</v>
      </c>
      <c r="AB28" s="5">
        <f t="shared" si="148"/>
        <v>0</v>
      </c>
      <c r="AC28" s="5">
        <f t="shared" si="148"/>
        <v>0</v>
      </c>
      <c r="AD28" s="5">
        <f t="shared" si="148"/>
        <v>0</v>
      </c>
      <c r="AE28" s="5">
        <f t="shared" si="148"/>
        <v>0</v>
      </c>
      <c r="AF28" s="5">
        <f t="shared" si="148"/>
        <v>0</v>
      </c>
      <c r="AG28" s="5">
        <f t="shared" si="148"/>
        <v>0</v>
      </c>
      <c r="AH28" s="5">
        <f t="shared" si="148"/>
        <v>0</v>
      </c>
      <c r="AI28" s="5">
        <f t="shared" si="148"/>
        <v>9.1050000000000004</v>
      </c>
      <c r="AJ28" s="5">
        <f t="shared" si="148"/>
        <v>0</v>
      </c>
      <c r="AK28" s="5">
        <f t="shared" si="148"/>
        <v>0</v>
      </c>
      <c r="AL28" s="5">
        <f t="shared" si="148"/>
        <v>0</v>
      </c>
      <c r="AM28" s="5">
        <f t="shared" si="148"/>
        <v>0</v>
      </c>
      <c r="AN28" s="120">
        <f t="shared" si="44"/>
        <v>0</v>
      </c>
      <c r="AO28" s="120">
        <f t="shared" si="3"/>
        <v>0</v>
      </c>
      <c r="AP28" s="120">
        <f t="shared" si="4"/>
        <v>0</v>
      </c>
      <c r="AQ28" s="120">
        <f t="shared" si="5"/>
        <v>0</v>
      </c>
      <c r="AR28" s="120">
        <f t="shared" si="6"/>
        <v>0</v>
      </c>
      <c r="AS28" s="120">
        <f t="shared" si="7"/>
        <v>0</v>
      </c>
      <c r="AT28" s="120">
        <f t="shared" si="8"/>
        <v>0</v>
      </c>
      <c r="AU28" s="5">
        <f t="shared" ref="AU28" si="149">AU29+AU33</f>
        <v>0</v>
      </c>
      <c r="AV28" s="5">
        <f t="shared" ref="AV28" si="150">AV29+AV33</f>
        <v>0</v>
      </c>
      <c r="AW28" s="5">
        <f t="shared" ref="AW28" si="151">AW29+AW33</f>
        <v>0</v>
      </c>
      <c r="AX28" s="5">
        <f t="shared" ref="AX28" si="152">AX29+AX33</f>
        <v>0</v>
      </c>
      <c r="AY28" s="5">
        <f>AY29+AY33</f>
        <v>0</v>
      </c>
      <c r="AZ28" s="5">
        <f t="shared" ref="AZ28" si="153">AZ29+AZ33</f>
        <v>0</v>
      </c>
      <c r="BA28" s="5">
        <f t="shared" ref="BA28" si="154">BA29+BA33</f>
        <v>0</v>
      </c>
      <c r="BB28" s="5">
        <f t="shared" ref="BB28" si="155">BB29+BB33</f>
        <v>0</v>
      </c>
      <c r="BC28" s="5">
        <f t="shared" ref="BC28" si="156">BC29+BC33</f>
        <v>0</v>
      </c>
      <c r="BD28" s="5">
        <f t="shared" ref="BD28" si="157">BD29+BD33</f>
        <v>0</v>
      </c>
      <c r="BE28" s="5">
        <f t="shared" ref="BE28" si="158">BE29+BE33</f>
        <v>0</v>
      </c>
      <c r="BF28" s="5">
        <f t="shared" ref="BF28" si="159">BF29+BF33</f>
        <v>0</v>
      </c>
      <c r="BG28" s="5">
        <f t="shared" ref="BG28" si="160">BG29+BG33</f>
        <v>0</v>
      </c>
      <c r="BH28" s="5">
        <f t="shared" ref="BH28" si="161">BH29+BH33</f>
        <v>0</v>
      </c>
      <c r="BI28" s="5">
        <f t="shared" ref="BI28" si="162">BI29+BI33</f>
        <v>0</v>
      </c>
      <c r="BJ28" s="5">
        <f t="shared" ref="BJ28" si="163">BJ29+BJ33</f>
        <v>0</v>
      </c>
      <c r="BK28" s="5">
        <f t="shared" ref="BK28" si="164">BK29+BK33</f>
        <v>0</v>
      </c>
      <c r="BL28" s="5">
        <f t="shared" ref="BL28" si="165">BL29+BL33</f>
        <v>0</v>
      </c>
      <c r="BM28" s="5">
        <f t="shared" ref="BM28" si="166">BM29+BM33</f>
        <v>0</v>
      </c>
      <c r="BN28" s="5">
        <f t="shared" ref="BN28" si="167">BN29+BN33</f>
        <v>0</v>
      </c>
      <c r="BO28" s="5">
        <f t="shared" ref="BO28" si="168">BO29+BO33</f>
        <v>0</v>
      </c>
      <c r="BP28" s="5">
        <f t="shared" ref="BP28" si="169">BP29+BP33</f>
        <v>0</v>
      </c>
      <c r="BQ28" s="5">
        <f t="shared" ref="BQ28" si="170">BQ29+BQ33</f>
        <v>0</v>
      </c>
      <c r="BR28" s="5">
        <f t="shared" ref="BR28" si="171">BR29+BR33</f>
        <v>0</v>
      </c>
      <c r="BS28" s="5">
        <f t="shared" ref="BS28" si="172">BS29+BS33</f>
        <v>0</v>
      </c>
      <c r="BT28" s="5">
        <f t="shared" ref="BT28" si="173">BT29+BT33</f>
        <v>0</v>
      </c>
      <c r="BU28" s="5">
        <f t="shared" ref="BU28" si="174">BU29+BU33</f>
        <v>0</v>
      </c>
      <c r="BV28" s="5">
        <f t="shared" ref="BV28" si="175">BV29+BV33</f>
        <v>0</v>
      </c>
      <c r="BW28" s="55">
        <f t="shared" si="45"/>
        <v>0</v>
      </c>
      <c r="BX28" s="55">
        <f t="shared" si="46"/>
        <v>0</v>
      </c>
      <c r="BY28" s="55">
        <f t="shared" si="47"/>
        <v>0</v>
      </c>
      <c r="BZ28" s="55">
        <f t="shared" si="48"/>
        <v>0</v>
      </c>
      <c r="CA28" s="55">
        <f t="shared" si="49"/>
        <v>0</v>
      </c>
      <c r="CB28" s="55">
        <f t="shared" si="50"/>
        <v>0</v>
      </c>
      <c r="CC28" s="55">
        <f t="shared" si="51"/>
        <v>0</v>
      </c>
      <c r="CD28" s="111"/>
    </row>
    <row r="29" spans="1:82" s="63" customFormat="1" ht="30">
      <c r="A29" s="87" t="s">
        <v>408</v>
      </c>
      <c r="B29" s="86" t="s">
        <v>409</v>
      </c>
      <c r="C29" s="101" t="s">
        <v>385</v>
      </c>
      <c r="D29" s="101" t="s">
        <v>385</v>
      </c>
      <c r="E29" s="120">
        <f t="shared" si="37"/>
        <v>0</v>
      </c>
      <c r="F29" s="120">
        <f t="shared" si="38"/>
        <v>0</v>
      </c>
      <c r="G29" s="277">
        <f t="shared" si="39"/>
        <v>7.6050000000000004</v>
      </c>
      <c r="H29" s="120">
        <f t="shared" si="40"/>
        <v>0</v>
      </c>
      <c r="I29" s="120">
        <f t="shared" si="41"/>
        <v>0</v>
      </c>
      <c r="J29" s="120">
        <f t="shared" si="42"/>
        <v>0</v>
      </c>
      <c r="K29" s="120">
        <f t="shared" si="43"/>
        <v>0</v>
      </c>
      <c r="L29" s="107">
        <f>L31+L32+L30</f>
        <v>0</v>
      </c>
      <c r="M29" s="107">
        <f t="shared" ref="M29:AM29" si="176">M31+M32+M30</f>
        <v>0</v>
      </c>
      <c r="N29" s="107">
        <f t="shared" si="176"/>
        <v>0</v>
      </c>
      <c r="O29" s="107">
        <f t="shared" si="176"/>
        <v>0</v>
      </c>
      <c r="P29" s="107">
        <f t="shared" si="176"/>
        <v>0</v>
      </c>
      <c r="Q29" s="107">
        <f t="shared" si="176"/>
        <v>0</v>
      </c>
      <c r="R29" s="107">
        <f t="shared" si="176"/>
        <v>0</v>
      </c>
      <c r="S29" s="107">
        <f t="shared" si="176"/>
        <v>0</v>
      </c>
      <c r="T29" s="107">
        <f t="shared" si="176"/>
        <v>0</v>
      </c>
      <c r="U29" s="107">
        <f t="shared" si="176"/>
        <v>0</v>
      </c>
      <c r="V29" s="107">
        <f t="shared" si="176"/>
        <v>0</v>
      </c>
      <c r="W29" s="107">
        <f t="shared" si="176"/>
        <v>0</v>
      </c>
      <c r="X29" s="107">
        <f t="shared" si="176"/>
        <v>0</v>
      </c>
      <c r="Y29" s="107">
        <f t="shared" si="176"/>
        <v>0</v>
      </c>
      <c r="Z29" s="107">
        <f t="shared" si="176"/>
        <v>0</v>
      </c>
      <c r="AA29" s="107">
        <f t="shared" si="176"/>
        <v>0</v>
      </c>
      <c r="AB29" s="107">
        <f t="shared" si="176"/>
        <v>0</v>
      </c>
      <c r="AC29" s="107">
        <f t="shared" si="176"/>
        <v>0</v>
      </c>
      <c r="AD29" s="107">
        <f t="shared" si="176"/>
        <v>0</v>
      </c>
      <c r="AE29" s="107">
        <f t="shared" si="176"/>
        <v>0</v>
      </c>
      <c r="AF29" s="107">
        <f t="shared" si="176"/>
        <v>0</v>
      </c>
      <c r="AG29" s="107">
        <f t="shared" si="176"/>
        <v>0</v>
      </c>
      <c r="AH29" s="107">
        <f t="shared" si="176"/>
        <v>0</v>
      </c>
      <c r="AI29" s="115">
        <f t="shared" si="176"/>
        <v>7.6050000000000004</v>
      </c>
      <c r="AJ29" s="107">
        <f t="shared" si="176"/>
        <v>0</v>
      </c>
      <c r="AK29" s="107">
        <f t="shared" si="176"/>
        <v>0</v>
      </c>
      <c r="AL29" s="107">
        <f t="shared" si="176"/>
        <v>0</v>
      </c>
      <c r="AM29" s="107">
        <f t="shared" si="176"/>
        <v>0</v>
      </c>
      <c r="AN29" s="120">
        <f t="shared" si="44"/>
        <v>0</v>
      </c>
      <c r="AO29" s="120">
        <f t="shared" si="3"/>
        <v>0</v>
      </c>
      <c r="AP29" s="120">
        <f t="shared" si="4"/>
        <v>0</v>
      </c>
      <c r="AQ29" s="120">
        <f t="shared" si="5"/>
        <v>0</v>
      </c>
      <c r="AR29" s="120">
        <f t="shared" si="6"/>
        <v>0</v>
      </c>
      <c r="AS29" s="120">
        <f t="shared" si="7"/>
        <v>0</v>
      </c>
      <c r="AT29" s="120">
        <f t="shared" si="8"/>
        <v>0</v>
      </c>
      <c r="AU29" s="107">
        <f>AU31+AU32+AU30</f>
        <v>0</v>
      </c>
      <c r="AV29" s="107">
        <f t="shared" ref="AV29" si="177">AV31+AV32+AV30</f>
        <v>0</v>
      </c>
      <c r="AW29" s="107">
        <f t="shared" ref="AW29" si="178">AW31+AW32+AW30</f>
        <v>0</v>
      </c>
      <c r="AX29" s="107">
        <f t="shared" ref="AX29" si="179">AX31+AX32+AX30</f>
        <v>0</v>
      </c>
      <c r="AY29" s="107">
        <f t="shared" ref="AY29" si="180">AY31+AY32+AY30</f>
        <v>0</v>
      </c>
      <c r="AZ29" s="107">
        <f t="shared" ref="AZ29" si="181">AZ31+AZ32+AZ30</f>
        <v>0</v>
      </c>
      <c r="BA29" s="107">
        <f t="shared" ref="BA29" si="182">BA31+BA32+BA30</f>
        <v>0</v>
      </c>
      <c r="BB29" s="107">
        <f t="shared" ref="BB29" si="183">BB31+BB32+BB30</f>
        <v>0</v>
      </c>
      <c r="BC29" s="107">
        <f t="shared" ref="BC29" si="184">BC31+BC32+BC30</f>
        <v>0</v>
      </c>
      <c r="BD29" s="107">
        <f t="shared" ref="BD29" si="185">BD31+BD32+BD30</f>
        <v>0</v>
      </c>
      <c r="BE29" s="107">
        <f t="shared" ref="BE29" si="186">BE31+BE32+BE30</f>
        <v>0</v>
      </c>
      <c r="BF29" s="107">
        <f t="shared" ref="BF29" si="187">BF31+BF32+BF30</f>
        <v>0</v>
      </c>
      <c r="BG29" s="107">
        <f t="shared" ref="BG29" si="188">BG31+BG32+BG30</f>
        <v>0</v>
      </c>
      <c r="BH29" s="107">
        <f t="shared" ref="BH29" si="189">BH31+BH32+BH30</f>
        <v>0</v>
      </c>
      <c r="BI29" s="107">
        <f t="shared" ref="BI29" si="190">BI31+BI32+BI30</f>
        <v>0</v>
      </c>
      <c r="BJ29" s="107">
        <f t="shared" ref="BJ29" si="191">BJ31+BJ32+BJ30</f>
        <v>0</v>
      </c>
      <c r="BK29" s="107">
        <f t="shared" ref="BK29" si="192">BK31+BK32+BK30</f>
        <v>0</v>
      </c>
      <c r="BL29" s="107">
        <f t="shared" ref="BL29" si="193">BL31+BL32+BL30</f>
        <v>0</v>
      </c>
      <c r="BM29" s="107">
        <f t="shared" ref="BM29" si="194">BM31+BM32+BM30</f>
        <v>0</v>
      </c>
      <c r="BN29" s="107">
        <f t="shared" ref="BN29" si="195">BN31+BN32+BN30</f>
        <v>0</v>
      </c>
      <c r="BO29" s="107">
        <f t="shared" ref="BO29" si="196">BO31+BO32+BO30</f>
        <v>0</v>
      </c>
      <c r="BP29" s="107">
        <f t="shared" ref="BP29" si="197">BP31+BP32+BP30</f>
        <v>0</v>
      </c>
      <c r="BQ29" s="107">
        <f t="shared" ref="BQ29" si="198">BQ31+BQ32+BQ30</f>
        <v>0</v>
      </c>
      <c r="BR29" s="107">
        <f t="shared" ref="BR29" si="199">BR31+BR32+BR30</f>
        <v>0</v>
      </c>
      <c r="BS29" s="107">
        <f t="shared" ref="BS29" si="200">BS31+BS32+BS30</f>
        <v>0</v>
      </c>
      <c r="BT29" s="107">
        <f t="shared" ref="BT29" si="201">BT31+BT32+BT30</f>
        <v>0</v>
      </c>
      <c r="BU29" s="107">
        <f t="shared" ref="BU29" si="202">BU31+BU32+BU30</f>
        <v>0</v>
      </c>
      <c r="BV29" s="107">
        <f t="shared" ref="BV29" si="203">BV31+BV32+BV30</f>
        <v>0</v>
      </c>
      <c r="BW29" s="55">
        <f t="shared" si="45"/>
        <v>0</v>
      </c>
      <c r="BX29" s="55">
        <f t="shared" si="46"/>
        <v>0</v>
      </c>
      <c r="BY29" s="55">
        <f t="shared" si="47"/>
        <v>0</v>
      </c>
      <c r="BZ29" s="55">
        <f t="shared" si="48"/>
        <v>0</v>
      </c>
      <c r="CA29" s="55">
        <f t="shared" si="49"/>
        <v>0</v>
      </c>
      <c r="CB29" s="55">
        <f t="shared" si="50"/>
        <v>0</v>
      </c>
      <c r="CC29" s="55">
        <f t="shared" si="51"/>
        <v>0</v>
      </c>
      <c r="CD29" s="111"/>
    </row>
    <row r="30" spans="1:82" s="63" customFormat="1" ht="45">
      <c r="A30" s="91" t="s">
        <v>410</v>
      </c>
      <c r="B30" s="92" t="s">
        <v>411</v>
      </c>
      <c r="C30" s="102" t="s">
        <v>412</v>
      </c>
      <c r="D30" s="101" t="s">
        <v>385</v>
      </c>
      <c r="E30" s="120">
        <f t="shared" si="37"/>
        <v>0</v>
      </c>
      <c r="F30" s="120">
        <f t="shared" si="38"/>
        <v>0</v>
      </c>
      <c r="G30" s="120">
        <f t="shared" si="39"/>
        <v>1</v>
      </c>
      <c r="H30" s="120">
        <f t="shared" si="40"/>
        <v>0</v>
      </c>
      <c r="I30" s="120">
        <f t="shared" si="41"/>
        <v>0</v>
      </c>
      <c r="J30" s="120">
        <f t="shared" si="42"/>
        <v>0</v>
      </c>
      <c r="K30" s="120">
        <f t="shared" si="43"/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115">
        <f>'13'!AK31</f>
        <v>1</v>
      </c>
      <c r="AJ30" s="5">
        <v>0</v>
      </c>
      <c r="AK30" s="5">
        <v>0</v>
      </c>
      <c r="AL30" s="5">
        <v>0</v>
      </c>
      <c r="AM30" s="5">
        <v>0</v>
      </c>
      <c r="AN30" s="120">
        <f t="shared" si="44"/>
        <v>0</v>
      </c>
      <c r="AO30" s="120">
        <f t="shared" si="3"/>
        <v>0</v>
      </c>
      <c r="AP30" s="120">
        <f t="shared" si="4"/>
        <v>0</v>
      </c>
      <c r="AQ30" s="120">
        <f t="shared" si="5"/>
        <v>0</v>
      </c>
      <c r="AR30" s="120">
        <f t="shared" si="6"/>
        <v>0</v>
      </c>
      <c r="AS30" s="120">
        <f t="shared" si="7"/>
        <v>0</v>
      </c>
      <c r="AT30" s="120">
        <f t="shared" si="8"/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5">
        <f t="shared" si="45"/>
        <v>0</v>
      </c>
      <c r="BX30" s="55">
        <f t="shared" si="46"/>
        <v>0</v>
      </c>
      <c r="BY30" s="55">
        <f t="shared" si="47"/>
        <v>0</v>
      </c>
      <c r="BZ30" s="55">
        <f t="shared" si="48"/>
        <v>0</v>
      </c>
      <c r="CA30" s="55">
        <f t="shared" si="49"/>
        <v>0</v>
      </c>
      <c r="CB30" s="55">
        <f t="shared" si="50"/>
        <v>0</v>
      </c>
      <c r="CC30" s="55">
        <f t="shared" si="51"/>
        <v>0</v>
      </c>
      <c r="CD30" s="111"/>
    </row>
    <row r="31" spans="1:82" s="63" customFormat="1" ht="90">
      <c r="A31" s="121" t="s">
        <v>442</v>
      </c>
      <c r="B31" s="122" t="s">
        <v>414</v>
      </c>
      <c r="C31" s="123" t="s">
        <v>308</v>
      </c>
      <c r="D31" s="101" t="s">
        <v>385</v>
      </c>
      <c r="E31" s="120">
        <f t="shared" si="37"/>
        <v>0</v>
      </c>
      <c r="F31" s="120">
        <f t="shared" si="38"/>
        <v>0</v>
      </c>
      <c r="G31" s="277">
        <f t="shared" si="39"/>
        <v>0</v>
      </c>
      <c r="H31" s="120">
        <f t="shared" si="40"/>
        <v>0</v>
      </c>
      <c r="I31" s="120">
        <f t="shared" si="41"/>
        <v>0</v>
      </c>
      <c r="J31" s="120">
        <f t="shared" si="42"/>
        <v>0</v>
      </c>
      <c r="K31" s="120">
        <f t="shared" si="43"/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120">
        <f t="shared" si="44"/>
        <v>0</v>
      </c>
      <c r="AO31" s="120">
        <f t="shared" si="3"/>
        <v>0</v>
      </c>
      <c r="AP31" s="120">
        <f t="shared" si="4"/>
        <v>0</v>
      </c>
      <c r="AQ31" s="120">
        <f t="shared" si="5"/>
        <v>0</v>
      </c>
      <c r="AR31" s="120">
        <f t="shared" si="6"/>
        <v>0</v>
      </c>
      <c r="AS31" s="120">
        <f t="shared" si="7"/>
        <v>0</v>
      </c>
      <c r="AT31" s="120">
        <f t="shared" si="8"/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5">
        <f t="shared" si="45"/>
        <v>0</v>
      </c>
      <c r="BX31" s="55">
        <f t="shared" si="46"/>
        <v>0</v>
      </c>
      <c r="BY31" s="55">
        <f t="shared" si="47"/>
        <v>0</v>
      </c>
      <c r="BZ31" s="55">
        <f t="shared" si="48"/>
        <v>0</v>
      </c>
      <c r="CA31" s="55">
        <f t="shared" si="49"/>
        <v>0</v>
      </c>
      <c r="CB31" s="55">
        <f t="shared" si="50"/>
        <v>0</v>
      </c>
      <c r="CC31" s="55">
        <f t="shared" si="51"/>
        <v>0</v>
      </c>
      <c r="CD31" s="111"/>
    </row>
    <row r="32" spans="1:82" s="63" customFormat="1" ht="60">
      <c r="A32" s="91" t="s">
        <v>443</v>
      </c>
      <c r="B32" s="92" t="s">
        <v>416</v>
      </c>
      <c r="C32" s="102" t="s">
        <v>417</v>
      </c>
      <c r="D32" s="101" t="s">
        <v>385</v>
      </c>
      <c r="E32" s="120">
        <f t="shared" si="37"/>
        <v>0</v>
      </c>
      <c r="F32" s="120">
        <f t="shared" si="38"/>
        <v>0</v>
      </c>
      <c r="G32" s="120">
        <f t="shared" si="39"/>
        <v>6.6050000000000004</v>
      </c>
      <c r="H32" s="120">
        <f t="shared" si="40"/>
        <v>0</v>
      </c>
      <c r="I32" s="120">
        <f t="shared" si="41"/>
        <v>0</v>
      </c>
      <c r="J32" s="120">
        <f t="shared" si="42"/>
        <v>0</v>
      </c>
      <c r="K32" s="120">
        <f t="shared" si="43"/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f>'13'!AK33</f>
        <v>6.6050000000000004</v>
      </c>
      <c r="AJ32" s="5">
        <v>0</v>
      </c>
      <c r="AK32" s="5">
        <v>0</v>
      </c>
      <c r="AL32" s="5">
        <v>0</v>
      </c>
      <c r="AM32" s="5">
        <v>0</v>
      </c>
      <c r="AN32" s="120">
        <f t="shared" si="44"/>
        <v>0</v>
      </c>
      <c r="AO32" s="120">
        <f t="shared" si="3"/>
        <v>0</v>
      </c>
      <c r="AP32" s="120">
        <f t="shared" si="4"/>
        <v>0</v>
      </c>
      <c r="AQ32" s="120">
        <f t="shared" si="5"/>
        <v>0</v>
      </c>
      <c r="AR32" s="120">
        <f t="shared" si="6"/>
        <v>0</v>
      </c>
      <c r="AS32" s="120">
        <f t="shared" si="7"/>
        <v>0</v>
      </c>
      <c r="AT32" s="120">
        <f t="shared" si="8"/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5">
        <f t="shared" si="45"/>
        <v>0</v>
      </c>
      <c r="BX32" s="55">
        <f t="shared" si="46"/>
        <v>0</v>
      </c>
      <c r="BY32" s="55">
        <f t="shared" si="47"/>
        <v>0</v>
      </c>
      <c r="BZ32" s="55">
        <f t="shared" si="48"/>
        <v>0</v>
      </c>
      <c r="CA32" s="55">
        <f t="shared" si="49"/>
        <v>0</v>
      </c>
      <c r="CB32" s="55">
        <f t="shared" si="50"/>
        <v>0</v>
      </c>
      <c r="CC32" s="55">
        <f t="shared" si="51"/>
        <v>0</v>
      </c>
      <c r="CD32" s="111"/>
    </row>
    <row r="33" spans="1:82" s="63" customFormat="1" ht="47.25">
      <c r="A33" s="114" t="s">
        <v>418</v>
      </c>
      <c r="B33" s="105" t="s">
        <v>419</v>
      </c>
      <c r="C33" s="103" t="s">
        <v>385</v>
      </c>
      <c r="D33" s="101" t="s">
        <v>385</v>
      </c>
      <c r="E33" s="120">
        <f t="shared" si="37"/>
        <v>0</v>
      </c>
      <c r="F33" s="120">
        <f t="shared" si="38"/>
        <v>0</v>
      </c>
      <c r="G33" s="120">
        <f t="shared" si="39"/>
        <v>1.5</v>
      </c>
      <c r="H33" s="120">
        <f t="shared" si="40"/>
        <v>0</v>
      </c>
      <c r="I33" s="120">
        <f t="shared" si="41"/>
        <v>0</v>
      </c>
      <c r="J33" s="120">
        <f t="shared" si="42"/>
        <v>0</v>
      </c>
      <c r="K33" s="120">
        <f t="shared" si="43"/>
        <v>0</v>
      </c>
      <c r="L33" s="5">
        <f t="shared" ref="L33:O33" si="204">L34</f>
        <v>0</v>
      </c>
      <c r="M33" s="5">
        <f t="shared" si="204"/>
        <v>0</v>
      </c>
      <c r="N33" s="5">
        <f t="shared" si="204"/>
        <v>0</v>
      </c>
      <c r="O33" s="5">
        <f t="shared" si="204"/>
        <v>0</v>
      </c>
      <c r="P33" s="5">
        <f>P34</f>
        <v>0</v>
      </c>
      <c r="Q33" s="5">
        <f t="shared" ref="Q33:AM33" si="205">Q34</f>
        <v>0</v>
      </c>
      <c r="R33" s="5">
        <f t="shared" si="205"/>
        <v>0</v>
      </c>
      <c r="S33" s="5">
        <f t="shared" si="205"/>
        <v>0</v>
      </c>
      <c r="T33" s="5">
        <f t="shared" si="205"/>
        <v>0</v>
      </c>
      <c r="U33" s="5">
        <f t="shared" si="205"/>
        <v>0</v>
      </c>
      <c r="V33" s="5">
        <f t="shared" si="205"/>
        <v>0</v>
      </c>
      <c r="W33" s="5">
        <f t="shared" si="205"/>
        <v>0</v>
      </c>
      <c r="X33" s="5">
        <f t="shared" si="205"/>
        <v>0</v>
      </c>
      <c r="Y33" s="5">
        <f t="shared" si="205"/>
        <v>0</v>
      </c>
      <c r="Z33" s="5">
        <f t="shared" si="205"/>
        <v>0</v>
      </c>
      <c r="AA33" s="5">
        <f t="shared" si="205"/>
        <v>0</v>
      </c>
      <c r="AB33" s="5">
        <f t="shared" si="205"/>
        <v>0</v>
      </c>
      <c r="AC33" s="5">
        <f t="shared" si="205"/>
        <v>0</v>
      </c>
      <c r="AD33" s="5">
        <f t="shared" si="205"/>
        <v>0</v>
      </c>
      <c r="AE33" s="5">
        <f t="shared" si="205"/>
        <v>0</v>
      </c>
      <c r="AF33" s="5">
        <f t="shared" si="205"/>
        <v>0</v>
      </c>
      <c r="AG33" s="5">
        <f t="shared" si="205"/>
        <v>0</v>
      </c>
      <c r="AH33" s="5">
        <f t="shared" si="205"/>
        <v>0</v>
      </c>
      <c r="AI33" s="115">
        <f t="shared" si="205"/>
        <v>1.5</v>
      </c>
      <c r="AJ33" s="5">
        <f t="shared" si="205"/>
        <v>0</v>
      </c>
      <c r="AK33" s="5">
        <f t="shared" si="205"/>
        <v>0</v>
      </c>
      <c r="AL33" s="5">
        <f t="shared" si="205"/>
        <v>0</v>
      </c>
      <c r="AM33" s="5">
        <f t="shared" si="205"/>
        <v>0</v>
      </c>
      <c r="AN33" s="120">
        <f t="shared" si="44"/>
        <v>0</v>
      </c>
      <c r="AO33" s="120">
        <f t="shared" si="3"/>
        <v>0</v>
      </c>
      <c r="AP33" s="120">
        <f t="shared" si="4"/>
        <v>0</v>
      </c>
      <c r="AQ33" s="120">
        <f t="shared" si="5"/>
        <v>0</v>
      </c>
      <c r="AR33" s="120">
        <f t="shared" si="6"/>
        <v>0</v>
      </c>
      <c r="AS33" s="120">
        <f t="shared" si="7"/>
        <v>0</v>
      </c>
      <c r="AT33" s="120">
        <f t="shared" si="8"/>
        <v>0</v>
      </c>
      <c r="AU33" s="5">
        <f t="shared" ref="AU33" si="206">AU34</f>
        <v>0</v>
      </c>
      <c r="AV33" s="5">
        <f t="shared" ref="AV33" si="207">AV34</f>
        <v>0</v>
      </c>
      <c r="AW33" s="5">
        <f t="shared" ref="AW33" si="208">AW34</f>
        <v>0</v>
      </c>
      <c r="AX33" s="5">
        <f t="shared" ref="AX33" si="209">AX34</f>
        <v>0</v>
      </c>
      <c r="AY33" s="5">
        <f>AY34</f>
        <v>0</v>
      </c>
      <c r="AZ33" s="5">
        <f t="shared" ref="AZ33" si="210">AZ34</f>
        <v>0</v>
      </c>
      <c r="BA33" s="5">
        <f t="shared" ref="BA33" si="211">BA34</f>
        <v>0</v>
      </c>
      <c r="BB33" s="5">
        <f t="shared" ref="BB33" si="212">BB34</f>
        <v>0</v>
      </c>
      <c r="BC33" s="5">
        <f t="shared" ref="BC33" si="213">BC34</f>
        <v>0</v>
      </c>
      <c r="BD33" s="5">
        <f t="shared" ref="BD33" si="214">BD34</f>
        <v>0</v>
      </c>
      <c r="BE33" s="5">
        <f t="shared" ref="BE33" si="215">BE34</f>
        <v>0</v>
      </c>
      <c r="BF33" s="5">
        <f t="shared" ref="BF33" si="216">BF34</f>
        <v>0</v>
      </c>
      <c r="BG33" s="5">
        <f t="shared" ref="BG33" si="217">BG34</f>
        <v>0</v>
      </c>
      <c r="BH33" s="5">
        <f t="shared" ref="BH33" si="218">BH34</f>
        <v>0</v>
      </c>
      <c r="BI33" s="5">
        <f t="shared" ref="BI33" si="219">BI34</f>
        <v>0</v>
      </c>
      <c r="BJ33" s="5">
        <f t="shared" ref="BJ33" si="220">BJ34</f>
        <v>0</v>
      </c>
      <c r="BK33" s="5">
        <f t="shared" ref="BK33" si="221">BK34</f>
        <v>0</v>
      </c>
      <c r="BL33" s="5">
        <f t="shared" ref="BL33" si="222">BL34</f>
        <v>0</v>
      </c>
      <c r="BM33" s="5">
        <f t="shared" ref="BM33" si="223">BM34</f>
        <v>0</v>
      </c>
      <c r="BN33" s="5">
        <f t="shared" ref="BN33" si="224">BN34</f>
        <v>0</v>
      </c>
      <c r="BO33" s="5">
        <f t="shared" ref="BO33" si="225">BO34</f>
        <v>0</v>
      </c>
      <c r="BP33" s="5">
        <f t="shared" ref="BP33" si="226">BP34</f>
        <v>0</v>
      </c>
      <c r="BQ33" s="5">
        <f t="shared" ref="BQ33" si="227">BQ34</f>
        <v>0</v>
      </c>
      <c r="BR33" s="5">
        <f t="shared" ref="BR33" si="228">BR34</f>
        <v>0</v>
      </c>
      <c r="BS33" s="5">
        <f t="shared" ref="BS33" si="229">BS34</f>
        <v>0</v>
      </c>
      <c r="BT33" s="5">
        <f t="shared" ref="BT33" si="230">BT34</f>
        <v>0</v>
      </c>
      <c r="BU33" s="5">
        <f t="shared" ref="BU33" si="231">BU34</f>
        <v>0</v>
      </c>
      <c r="BV33" s="5">
        <f t="shared" ref="BV33" si="232">BV34</f>
        <v>0</v>
      </c>
      <c r="BW33" s="55">
        <f t="shared" si="45"/>
        <v>0</v>
      </c>
      <c r="BX33" s="55">
        <f t="shared" si="46"/>
        <v>0</v>
      </c>
      <c r="BY33" s="55">
        <f t="shared" si="47"/>
        <v>0</v>
      </c>
      <c r="BZ33" s="55">
        <f t="shared" si="48"/>
        <v>0</v>
      </c>
      <c r="CA33" s="55">
        <f t="shared" si="49"/>
        <v>0</v>
      </c>
      <c r="CB33" s="55">
        <f t="shared" si="50"/>
        <v>0</v>
      </c>
      <c r="CC33" s="55">
        <f t="shared" si="51"/>
        <v>0</v>
      </c>
      <c r="CD33" s="111"/>
    </row>
    <row r="34" spans="1:82" s="63" customFormat="1" ht="63">
      <c r="A34" s="93" t="s">
        <v>420</v>
      </c>
      <c r="B34" s="94" t="s">
        <v>421</v>
      </c>
      <c r="C34" s="103" t="s">
        <v>422</v>
      </c>
      <c r="D34" s="101" t="s">
        <v>385</v>
      </c>
      <c r="E34" s="120">
        <f t="shared" si="37"/>
        <v>0</v>
      </c>
      <c r="F34" s="120">
        <f t="shared" si="38"/>
        <v>0</v>
      </c>
      <c r="G34" s="120">
        <f t="shared" si="39"/>
        <v>1.5</v>
      </c>
      <c r="H34" s="120">
        <f t="shared" si="40"/>
        <v>0</v>
      </c>
      <c r="I34" s="120">
        <f t="shared" si="41"/>
        <v>0</v>
      </c>
      <c r="J34" s="120">
        <f t="shared" si="42"/>
        <v>0</v>
      </c>
      <c r="K34" s="120">
        <f t="shared" si="43"/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115">
        <f>'13'!AK35</f>
        <v>1.5</v>
      </c>
      <c r="AJ34" s="5">
        <v>0</v>
      </c>
      <c r="AK34" s="5">
        <v>0</v>
      </c>
      <c r="AL34" s="5">
        <v>0</v>
      </c>
      <c r="AM34" s="5">
        <v>0</v>
      </c>
      <c r="AN34" s="120">
        <f t="shared" si="44"/>
        <v>0</v>
      </c>
      <c r="AO34" s="120">
        <f t="shared" si="3"/>
        <v>0</v>
      </c>
      <c r="AP34" s="120">
        <f t="shared" si="4"/>
        <v>0</v>
      </c>
      <c r="AQ34" s="120">
        <f t="shared" si="5"/>
        <v>0</v>
      </c>
      <c r="AR34" s="120">
        <f t="shared" si="6"/>
        <v>0</v>
      </c>
      <c r="AS34" s="120">
        <f t="shared" si="7"/>
        <v>0</v>
      </c>
      <c r="AT34" s="120">
        <f t="shared" si="8"/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5">
        <f t="shared" si="45"/>
        <v>0</v>
      </c>
      <c r="BX34" s="55">
        <f t="shared" si="46"/>
        <v>0</v>
      </c>
      <c r="BY34" s="55">
        <f t="shared" si="47"/>
        <v>0</v>
      </c>
      <c r="BZ34" s="55">
        <f t="shared" si="48"/>
        <v>0</v>
      </c>
      <c r="CA34" s="55">
        <f t="shared" si="49"/>
        <v>0</v>
      </c>
      <c r="CB34" s="55">
        <f t="shared" si="50"/>
        <v>0</v>
      </c>
      <c r="CC34" s="55">
        <f t="shared" si="51"/>
        <v>0</v>
      </c>
      <c r="CD34" s="111"/>
    </row>
    <row r="35" spans="1:82" s="63" customFormat="1" ht="42.75">
      <c r="A35" s="89" t="s">
        <v>423</v>
      </c>
      <c r="B35" s="95" t="s">
        <v>424</v>
      </c>
      <c r="C35" s="104" t="s">
        <v>385</v>
      </c>
      <c r="D35" s="101" t="s">
        <v>385</v>
      </c>
      <c r="E35" s="120">
        <f t="shared" si="37"/>
        <v>0</v>
      </c>
      <c r="F35" s="120">
        <f t="shared" si="38"/>
        <v>0</v>
      </c>
      <c r="G35" s="120">
        <f t="shared" si="39"/>
        <v>0</v>
      </c>
      <c r="H35" s="120">
        <f t="shared" si="40"/>
        <v>0</v>
      </c>
      <c r="I35" s="120">
        <f t="shared" si="41"/>
        <v>0</v>
      </c>
      <c r="J35" s="120">
        <f t="shared" si="42"/>
        <v>0</v>
      </c>
      <c r="K35" s="120">
        <f t="shared" si="43"/>
        <v>227</v>
      </c>
      <c r="L35" s="5">
        <f t="shared" ref="L35:AA35" si="233">L36</f>
        <v>0</v>
      </c>
      <c r="M35" s="5">
        <f t="shared" si="233"/>
        <v>0</v>
      </c>
      <c r="N35" s="5">
        <f t="shared" si="233"/>
        <v>0</v>
      </c>
      <c r="O35" s="5">
        <f t="shared" si="233"/>
        <v>0</v>
      </c>
      <c r="P35" s="5">
        <f t="shared" si="233"/>
        <v>0</v>
      </c>
      <c r="Q35" s="5">
        <f t="shared" si="233"/>
        <v>0</v>
      </c>
      <c r="R35" s="5">
        <f t="shared" si="233"/>
        <v>0</v>
      </c>
      <c r="S35" s="5">
        <f t="shared" si="233"/>
        <v>0</v>
      </c>
      <c r="T35" s="5">
        <f t="shared" si="233"/>
        <v>0</v>
      </c>
      <c r="U35" s="5">
        <f t="shared" si="233"/>
        <v>0</v>
      </c>
      <c r="V35" s="5">
        <f t="shared" si="233"/>
        <v>0</v>
      </c>
      <c r="W35" s="5">
        <f t="shared" si="233"/>
        <v>0</v>
      </c>
      <c r="X35" s="5">
        <f t="shared" si="233"/>
        <v>0</v>
      </c>
      <c r="Y35" s="5">
        <f t="shared" si="233"/>
        <v>0</v>
      </c>
      <c r="Z35" s="5">
        <f t="shared" si="233"/>
        <v>0</v>
      </c>
      <c r="AA35" s="5">
        <f t="shared" si="233"/>
        <v>0</v>
      </c>
      <c r="AB35" s="5">
        <f t="shared" ref="AB35:AM35" si="234">AB36</f>
        <v>0</v>
      </c>
      <c r="AC35" s="5">
        <f t="shared" si="234"/>
        <v>0</v>
      </c>
      <c r="AD35" s="5">
        <f t="shared" si="234"/>
        <v>0</v>
      </c>
      <c r="AE35" s="5">
        <f t="shared" si="234"/>
        <v>0</v>
      </c>
      <c r="AF35" s="5">
        <f t="shared" si="234"/>
        <v>0</v>
      </c>
      <c r="AG35" s="5">
        <f t="shared" si="234"/>
        <v>0</v>
      </c>
      <c r="AH35" s="5">
        <f t="shared" si="234"/>
        <v>0</v>
      </c>
      <c r="AI35" s="5">
        <f t="shared" si="234"/>
        <v>0</v>
      </c>
      <c r="AJ35" s="5">
        <f t="shared" si="234"/>
        <v>0</v>
      </c>
      <c r="AK35" s="5">
        <f t="shared" si="234"/>
        <v>0</v>
      </c>
      <c r="AL35" s="5">
        <f t="shared" si="234"/>
        <v>0</v>
      </c>
      <c r="AM35" s="5">
        <f t="shared" si="234"/>
        <v>227</v>
      </c>
      <c r="AN35" s="120">
        <f t="shared" si="44"/>
        <v>0</v>
      </c>
      <c r="AO35" s="120">
        <f t="shared" si="3"/>
        <v>0</v>
      </c>
      <c r="AP35" s="120">
        <f t="shared" si="4"/>
        <v>0</v>
      </c>
      <c r="AQ35" s="120">
        <f t="shared" si="5"/>
        <v>0</v>
      </c>
      <c r="AR35" s="120">
        <f t="shared" si="6"/>
        <v>0</v>
      </c>
      <c r="AS35" s="120">
        <f t="shared" si="7"/>
        <v>0</v>
      </c>
      <c r="AT35" s="120">
        <f t="shared" si="8"/>
        <v>0</v>
      </c>
      <c r="AU35" s="5">
        <f t="shared" ref="AU35:BJ35" si="235">AU36</f>
        <v>0</v>
      </c>
      <c r="AV35" s="5">
        <f t="shared" si="235"/>
        <v>0</v>
      </c>
      <c r="AW35" s="5">
        <f t="shared" si="235"/>
        <v>0</v>
      </c>
      <c r="AX35" s="5">
        <f t="shared" si="235"/>
        <v>0</v>
      </c>
      <c r="AY35" s="5">
        <f t="shared" si="235"/>
        <v>0</v>
      </c>
      <c r="AZ35" s="5">
        <f t="shared" si="235"/>
        <v>0</v>
      </c>
      <c r="BA35" s="5">
        <f t="shared" si="235"/>
        <v>0</v>
      </c>
      <c r="BB35" s="5">
        <f t="shared" si="235"/>
        <v>0</v>
      </c>
      <c r="BC35" s="5">
        <f t="shared" si="235"/>
        <v>0</v>
      </c>
      <c r="BD35" s="5">
        <f t="shared" si="235"/>
        <v>0</v>
      </c>
      <c r="BE35" s="5">
        <f t="shared" si="235"/>
        <v>0</v>
      </c>
      <c r="BF35" s="5">
        <f t="shared" si="235"/>
        <v>0</v>
      </c>
      <c r="BG35" s="5">
        <f t="shared" si="235"/>
        <v>0</v>
      </c>
      <c r="BH35" s="5">
        <f t="shared" si="235"/>
        <v>0</v>
      </c>
      <c r="BI35" s="5">
        <f t="shared" si="235"/>
        <v>0</v>
      </c>
      <c r="BJ35" s="5">
        <f t="shared" si="235"/>
        <v>0</v>
      </c>
      <c r="BK35" s="5">
        <f t="shared" ref="BK35:BV35" si="236">BK36</f>
        <v>0</v>
      </c>
      <c r="BL35" s="5">
        <f t="shared" si="236"/>
        <v>0</v>
      </c>
      <c r="BM35" s="5">
        <f t="shared" si="236"/>
        <v>0</v>
      </c>
      <c r="BN35" s="5">
        <f t="shared" si="236"/>
        <v>0</v>
      </c>
      <c r="BO35" s="5">
        <f t="shared" si="236"/>
        <v>0</v>
      </c>
      <c r="BP35" s="5">
        <f t="shared" si="236"/>
        <v>0</v>
      </c>
      <c r="BQ35" s="5">
        <f t="shared" si="236"/>
        <v>0</v>
      </c>
      <c r="BR35" s="5">
        <f t="shared" si="236"/>
        <v>0</v>
      </c>
      <c r="BS35" s="5">
        <f t="shared" si="236"/>
        <v>0</v>
      </c>
      <c r="BT35" s="5">
        <f t="shared" si="236"/>
        <v>0</v>
      </c>
      <c r="BU35" s="5">
        <f t="shared" si="236"/>
        <v>0</v>
      </c>
      <c r="BV35" s="5">
        <f t="shared" si="236"/>
        <v>0</v>
      </c>
      <c r="BW35" s="55">
        <f t="shared" si="45"/>
        <v>0</v>
      </c>
      <c r="BX35" s="55">
        <f t="shared" si="46"/>
        <v>0</v>
      </c>
      <c r="BY35" s="55">
        <f t="shared" si="47"/>
        <v>0</v>
      </c>
      <c r="BZ35" s="55">
        <f t="shared" si="48"/>
        <v>0</v>
      </c>
      <c r="CA35" s="55">
        <f t="shared" si="49"/>
        <v>0</v>
      </c>
      <c r="CB35" s="55">
        <f t="shared" si="50"/>
        <v>0</v>
      </c>
      <c r="CC35" s="55">
        <f t="shared" si="51"/>
        <v>0</v>
      </c>
      <c r="CD35" s="111"/>
    </row>
    <row r="36" spans="1:82" s="63" customFormat="1" ht="45">
      <c r="A36" s="96" t="s">
        <v>425</v>
      </c>
      <c r="B36" s="97" t="s">
        <v>426</v>
      </c>
      <c r="C36" s="104" t="s">
        <v>385</v>
      </c>
      <c r="D36" s="101" t="s">
        <v>385</v>
      </c>
      <c r="E36" s="120">
        <f t="shared" si="37"/>
        <v>0</v>
      </c>
      <c r="F36" s="120">
        <f t="shared" si="38"/>
        <v>0</v>
      </c>
      <c r="G36" s="120">
        <f t="shared" si="39"/>
        <v>0</v>
      </c>
      <c r="H36" s="120">
        <f t="shared" si="40"/>
        <v>0</v>
      </c>
      <c r="I36" s="120">
        <f t="shared" si="41"/>
        <v>0</v>
      </c>
      <c r="J36" s="120">
        <f t="shared" si="42"/>
        <v>0</v>
      </c>
      <c r="K36" s="120">
        <f t="shared" si="43"/>
        <v>227</v>
      </c>
      <c r="L36" s="5">
        <f>L37+L38</f>
        <v>0</v>
      </c>
      <c r="M36" s="5">
        <f t="shared" ref="M36:AM36" si="237">M37+M38</f>
        <v>0</v>
      </c>
      <c r="N36" s="5">
        <f t="shared" si="237"/>
        <v>0</v>
      </c>
      <c r="O36" s="5">
        <f t="shared" si="237"/>
        <v>0</v>
      </c>
      <c r="P36" s="5">
        <f t="shared" si="237"/>
        <v>0</v>
      </c>
      <c r="Q36" s="5">
        <f t="shared" si="237"/>
        <v>0</v>
      </c>
      <c r="R36" s="5">
        <f t="shared" si="237"/>
        <v>0</v>
      </c>
      <c r="S36" s="5">
        <f t="shared" si="237"/>
        <v>0</v>
      </c>
      <c r="T36" s="5">
        <f t="shared" si="237"/>
        <v>0</v>
      </c>
      <c r="U36" s="5">
        <f t="shared" si="237"/>
        <v>0</v>
      </c>
      <c r="V36" s="5">
        <f t="shared" si="237"/>
        <v>0</v>
      </c>
      <c r="W36" s="5">
        <f t="shared" si="237"/>
        <v>0</v>
      </c>
      <c r="X36" s="5">
        <f t="shared" si="237"/>
        <v>0</v>
      </c>
      <c r="Y36" s="5">
        <f t="shared" si="237"/>
        <v>0</v>
      </c>
      <c r="Z36" s="5">
        <f t="shared" si="237"/>
        <v>0</v>
      </c>
      <c r="AA36" s="5">
        <f t="shared" si="237"/>
        <v>0</v>
      </c>
      <c r="AB36" s="5">
        <f t="shared" si="237"/>
        <v>0</v>
      </c>
      <c r="AC36" s="5">
        <f t="shared" si="237"/>
        <v>0</v>
      </c>
      <c r="AD36" s="5">
        <f t="shared" si="237"/>
        <v>0</v>
      </c>
      <c r="AE36" s="5">
        <f t="shared" si="237"/>
        <v>0</v>
      </c>
      <c r="AF36" s="5">
        <f t="shared" si="237"/>
        <v>0</v>
      </c>
      <c r="AG36" s="5">
        <f t="shared" si="237"/>
        <v>0</v>
      </c>
      <c r="AH36" s="5">
        <f t="shared" si="237"/>
        <v>0</v>
      </c>
      <c r="AI36" s="124">
        <f t="shared" si="237"/>
        <v>0</v>
      </c>
      <c r="AJ36" s="124">
        <f t="shared" si="237"/>
        <v>0</v>
      </c>
      <c r="AK36" s="124">
        <f t="shared" si="237"/>
        <v>0</v>
      </c>
      <c r="AL36" s="124">
        <f t="shared" si="237"/>
        <v>0</v>
      </c>
      <c r="AM36" s="124">
        <f t="shared" si="237"/>
        <v>227</v>
      </c>
      <c r="AN36" s="120">
        <f t="shared" si="44"/>
        <v>0</v>
      </c>
      <c r="AO36" s="120">
        <f t="shared" si="3"/>
        <v>0</v>
      </c>
      <c r="AP36" s="120">
        <f t="shared" si="4"/>
        <v>0</v>
      </c>
      <c r="AQ36" s="120">
        <f t="shared" si="5"/>
        <v>0</v>
      </c>
      <c r="AR36" s="120">
        <f t="shared" si="6"/>
        <v>0</v>
      </c>
      <c r="AS36" s="120">
        <f t="shared" si="7"/>
        <v>0</v>
      </c>
      <c r="AT36" s="120">
        <f t="shared" si="8"/>
        <v>0</v>
      </c>
      <c r="AU36" s="5">
        <f>AU37+AU38</f>
        <v>0</v>
      </c>
      <c r="AV36" s="5">
        <f t="shared" ref="AV36" si="238">AV37+AV38</f>
        <v>0</v>
      </c>
      <c r="AW36" s="5">
        <f t="shared" ref="AW36" si="239">AW37+AW38</f>
        <v>0</v>
      </c>
      <c r="AX36" s="5">
        <f t="shared" ref="AX36" si="240">AX37+AX38</f>
        <v>0</v>
      </c>
      <c r="AY36" s="5">
        <f t="shared" ref="AY36" si="241">AY37+AY38</f>
        <v>0</v>
      </c>
      <c r="AZ36" s="5">
        <f t="shared" ref="AZ36" si="242">AZ37+AZ38</f>
        <v>0</v>
      </c>
      <c r="BA36" s="5">
        <f t="shared" ref="BA36" si="243">BA37+BA38</f>
        <v>0</v>
      </c>
      <c r="BB36" s="5">
        <f t="shared" ref="BB36" si="244">BB37+BB38</f>
        <v>0</v>
      </c>
      <c r="BC36" s="5">
        <f t="shared" ref="BC36" si="245">BC37+BC38</f>
        <v>0</v>
      </c>
      <c r="BD36" s="5">
        <f t="shared" ref="BD36" si="246">BD37+BD38</f>
        <v>0</v>
      </c>
      <c r="BE36" s="5">
        <f t="shared" ref="BE36" si="247">BE37+BE38</f>
        <v>0</v>
      </c>
      <c r="BF36" s="5">
        <f t="shared" ref="BF36" si="248">BF37+BF38</f>
        <v>0</v>
      </c>
      <c r="BG36" s="5">
        <f t="shared" ref="BG36" si="249">BG37+BG38</f>
        <v>0</v>
      </c>
      <c r="BH36" s="5">
        <f t="shared" ref="BH36" si="250">BH37+BH38</f>
        <v>0</v>
      </c>
      <c r="BI36" s="5">
        <f t="shared" ref="BI36" si="251">BI37+BI38</f>
        <v>0</v>
      </c>
      <c r="BJ36" s="5">
        <f t="shared" ref="BJ36" si="252">BJ37+BJ38</f>
        <v>0</v>
      </c>
      <c r="BK36" s="5">
        <f t="shared" ref="BK36" si="253">BK37+BK38</f>
        <v>0</v>
      </c>
      <c r="BL36" s="5">
        <f t="shared" ref="BL36" si="254">BL37+BL38</f>
        <v>0</v>
      </c>
      <c r="BM36" s="5">
        <f t="shared" ref="BM36" si="255">BM37+BM38</f>
        <v>0</v>
      </c>
      <c r="BN36" s="5">
        <f t="shared" ref="BN36" si="256">BN37+BN38</f>
        <v>0</v>
      </c>
      <c r="BO36" s="5">
        <f t="shared" ref="BO36" si="257">BO37+BO38</f>
        <v>0</v>
      </c>
      <c r="BP36" s="5">
        <f t="shared" ref="BP36" si="258">BP37+BP38</f>
        <v>0</v>
      </c>
      <c r="BQ36" s="5">
        <f t="shared" ref="BQ36" si="259">BQ37+BQ38</f>
        <v>0</v>
      </c>
      <c r="BR36" s="5">
        <f t="shared" ref="BR36" si="260">BR37+BR38</f>
        <v>0</v>
      </c>
      <c r="BS36" s="5">
        <f t="shared" ref="BS36" si="261">BS37+BS38</f>
        <v>0</v>
      </c>
      <c r="BT36" s="5">
        <f t="shared" ref="BT36" si="262">BT37+BT38</f>
        <v>0</v>
      </c>
      <c r="BU36" s="5">
        <f t="shared" ref="BU36" si="263">BU37+BU38</f>
        <v>0</v>
      </c>
      <c r="BV36" s="5">
        <f t="shared" ref="BV36" si="264">BV37+BV38</f>
        <v>0</v>
      </c>
      <c r="BW36" s="55">
        <f t="shared" si="45"/>
        <v>0</v>
      </c>
      <c r="BX36" s="55">
        <f t="shared" si="46"/>
        <v>0</v>
      </c>
      <c r="BY36" s="55">
        <f t="shared" si="47"/>
        <v>0</v>
      </c>
      <c r="BZ36" s="55">
        <f t="shared" si="48"/>
        <v>0</v>
      </c>
      <c r="CA36" s="55">
        <f t="shared" si="49"/>
        <v>0</v>
      </c>
      <c r="CB36" s="55">
        <f t="shared" si="50"/>
        <v>0</v>
      </c>
      <c r="CC36" s="55">
        <f t="shared" si="51"/>
        <v>0</v>
      </c>
      <c r="CD36" s="111"/>
    </row>
    <row r="37" spans="1:82" s="63" customFormat="1" ht="30">
      <c r="A37" s="128" t="s">
        <v>427</v>
      </c>
      <c r="B37" s="129" t="s">
        <v>428</v>
      </c>
      <c r="C37" s="130" t="s">
        <v>273</v>
      </c>
      <c r="D37" s="101" t="s">
        <v>385</v>
      </c>
      <c r="E37" s="120">
        <f t="shared" si="37"/>
        <v>0</v>
      </c>
      <c r="F37" s="120">
        <f t="shared" si="38"/>
        <v>0</v>
      </c>
      <c r="G37" s="120">
        <f t="shared" si="39"/>
        <v>0</v>
      </c>
      <c r="H37" s="120">
        <f t="shared" si="40"/>
        <v>0</v>
      </c>
      <c r="I37" s="120">
        <f t="shared" si="41"/>
        <v>0</v>
      </c>
      <c r="J37" s="120">
        <f t="shared" si="42"/>
        <v>0</v>
      </c>
      <c r="K37" s="120">
        <f t="shared" si="43"/>
        <v>227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f>'13'!AM38</f>
        <v>227</v>
      </c>
      <c r="AN37" s="120">
        <f t="shared" si="44"/>
        <v>0</v>
      </c>
      <c r="AO37" s="120">
        <f t="shared" si="3"/>
        <v>0</v>
      </c>
      <c r="AP37" s="120">
        <f t="shared" si="4"/>
        <v>0</v>
      </c>
      <c r="AQ37" s="120">
        <f t="shared" si="5"/>
        <v>0</v>
      </c>
      <c r="AR37" s="120">
        <f t="shared" si="6"/>
        <v>0</v>
      </c>
      <c r="AS37" s="120">
        <f t="shared" si="7"/>
        <v>0</v>
      </c>
      <c r="AT37" s="120">
        <f t="shared" si="8"/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>
        <v>0</v>
      </c>
      <c r="BD37" s="124">
        <v>0</v>
      </c>
      <c r="BE37" s="124">
        <v>0</v>
      </c>
      <c r="BF37" s="124">
        <v>0</v>
      </c>
      <c r="BG37" s="124">
        <v>0</v>
      </c>
      <c r="BH37" s="124">
        <v>0</v>
      </c>
      <c r="BI37" s="124">
        <v>0</v>
      </c>
      <c r="BJ37" s="124">
        <v>0</v>
      </c>
      <c r="BK37" s="124">
        <v>0</v>
      </c>
      <c r="BL37" s="124">
        <v>0</v>
      </c>
      <c r="BM37" s="124">
        <v>0</v>
      </c>
      <c r="BN37" s="124">
        <v>0</v>
      </c>
      <c r="BO37" s="124">
        <v>0</v>
      </c>
      <c r="BP37" s="124">
        <v>0</v>
      </c>
      <c r="BQ37" s="124">
        <v>0</v>
      </c>
      <c r="BR37" s="124">
        <v>0</v>
      </c>
      <c r="BS37" s="124">
        <v>0</v>
      </c>
      <c r="BT37" s="124">
        <v>0</v>
      </c>
      <c r="BU37" s="124">
        <v>0</v>
      </c>
      <c r="BV37" s="124">
        <v>0</v>
      </c>
      <c r="BW37" s="55">
        <f t="shared" si="45"/>
        <v>0</v>
      </c>
      <c r="BX37" s="55">
        <f t="shared" si="46"/>
        <v>0</v>
      </c>
      <c r="BY37" s="55">
        <f t="shared" si="47"/>
        <v>0</v>
      </c>
      <c r="BZ37" s="55">
        <f t="shared" si="48"/>
        <v>0</v>
      </c>
      <c r="CA37" s="55">
        <f t="shared" si="49"/>
        <v>0</v>
      </c>
      <c r="CB37" s="55">
        <f t="shared" si="50"/>
        <v>0</v>
      </c>
      <c r="CC37" s="55">
        <f t="shared" si="51"/>
        <v>0</v>
      </c>
      <c r="CD37" s="111"/>
    </row>
    <row r="38" spans="1:82" s="63" customFormat="1" ht="30" customHeight="1">
      <c r="A38" s="128" t="s">
        <v>1063</v>
      </c>
      <c r="B38" s="129" t="s">
        <v>428</v>
      </c>
      <c r="C38" s="130" t="s">
        <v>1116</v>
      </c>
      <c r="D38" s="101" t="s">
        <v>385</v>
      </c>
      <c r="E38" s="120">
        <f t="shared" ref="E38" si="265">L38+S38+Z38+AG38</f>
        <v>0</v>
      </c>
      <c r="F38" s="120">
        <f t="shared" ref="F38" si="266">M38+T38+AA38+AH38</f>
        <v>0</v>
      </c>
      <c r="G38" s="120">
        <f t="shared" ref="G38" si="267">N38+U38+AB38+AI38</f>
        <v>0</v>
      </c>
      <c r="H38" s="120">
        <f t="shared" ref="H38" si="268">O38+V38+AC38+AJ38</f>
        <v>0</v>
      </c>
      <c r="I38" s="120">
        <f t="shared" ref="I38" si="269">P38+W38+AD38+AK38</f>
        <v>0</v>
      </c>
      <c r="J38" s="120">
        <f t="shared" ref="J38" si="270">Q38+X38+AE38+AL38</f>
        <v>0</v>
      </c>
      <c r="K38" s="120">
        <f t="shared" ref="K38" si="271">R38+Y38+AF38+AM38</f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f>'13'!AM39</f>
        <v>0</v>
      </c>
      <c r="AN38" s="120">
        <f t="shared" ref="AN38" si="272">AU38+BB38+BI38+BP38</f>
        <v>0</v>
      </c>
      <c r="AO38" s="120">
        <f t="shared" ref="AO38" si="273">AV38+BC38+BJ38+BQ38</f>
        <v>0</v>
      </c>
      <c r="AP38" s="120">
        <f t="shared" ref="AP38" si="274">AW38+BD38+BK38+BR38</f>
        <v>0</v>
      </c>
      <c r="AQ38" s="120">
        <f t="shared" ref="AQ38" si="275">AX38+BE38+BL38+BS38</f>
        <v>0</v>
      </c>
      <c r="AR38" s="120">
        <f t="shared" ref="AR38" si="276">AY38+BF38+BM38+BT38</f>
        <v>0</v>
      </c>
      <c r="AS38" s="120">
        <f t="shared" ref="AS38" si="277">AZ38+BG38+BN38+BU38</f>
        <v>0</v>
      </c>
      <c r="AT38" s="120">
        <f t="shared" ref="AT38" si="278">BA38+BH38+BO38+BV38</f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4">
        <v>0</v>
      </c>
      <c r="BD38" s="124">
        <v>0</v>
      </c>
      <c r="BE38" s="124">
        <v>0</v>
      </c>
      <c r="BF38" s="124">
        <v>0</v>
      </c>
      <c r="BG38" s="124">
        <v>0</v>
      </c>
      <c r="BH38" s="124">
        <v>0</v>
      </c>
      <c r="BI38" s="124">
        <v>0</v>
      </c>
      <c r="BJ38" s="124">
        <v>0</v>
      </c>
      <c r="BK38" s="124">
        <v>0</v>
      </c>
      <c r="BL38" s="124">
        <v>0</v>
      </c>
      <c r="BM38" s="124">
        <v>0</v>
      </c>
      <c r="BN38" s="124">
        <v>0</v>
      </c>
      <c r="BO38" s="124">
        <v>0</v>
      </c>
      <c r="BP38" s="124">
        <v>0</v>
      </c>
      <c r="BQ38" s="124">
        <v>0</v>
      </c>
      <c r="BR38" s="124">
        <v>0</v>
      </c>
      <c r="BS38" s="124">
        <v>0</v>
      </c>
      <c r="BT38" s="124">
        <v>0</v>
      </c>
      <c r="BU38" s="124">
        <v>0</v>
      </c>
      <c r="BV38" s="124">
        <v>0</v>
      </c>
      <c r="BW38" s="55">
        <f t="shared" si="45"/>
        <v>0</v>
      </c>
      <c r="BX38" s="55">
        <f t="shared" si="46"/>
        <v>0</v>
      </c>
      <c r="BY38" s="55">
        <f t="shared" si="47"/>
        <v>0</v>
      </c>
      <c r="BZ38" s="55">
        <f t="shared" si="48"/>
        <v>0</v>
      </c>
      <c r="CA38" s="55">
        <f t="shared" si="49"/>
        <v>0</v>
      </c>
      <c r="CB38" s="55">
        <f t="shared" si="50"/>
        <v>0</v>
      </c>
      <c r="CC38" s="55">
        <f t="shared" si="51"/>
        <v>0</v>
      </c>
      <c r="CD38" s="322"/>
    </row>
    <row r="39" spans="1:82" s="63" customFormat="1" ht="42.75">
      <c r="A39" s="89" t="s">
        <v>429</v>
      </c>
      <c r="B39" s="90" t="s">
        <v>430</v>
      </c>
      <c r="C39" s="101"/>
      <c r="D39" s="101" t="s">
        <v>385</v>
      </c>
      <c r="E39" s="120">
        <f t="shared" si="37"/>
        <v>0.16</v>
      </c>
      <c r="F39" s="120">
        <f t="shared" si="38"/>
        <v>0</v>
      </c>
      <c r="G39" s="120">
        <f t="shared" si="39"/>
        <v>4.0199999999999996</v>
      </c>
      <c r="H39" s="120">
        <f t="shared" si="40"/>
        <v>0</v>
      </c>
      <c r="I39" s="120">
        <f t="shared" si="41"/>
        <v>0</v>
      </c>
      <c r="J39" s="120">
        <f t="shared" si="42"/>
        <v>0</v>
      </c>
      <c r="K39" s="120">
        <f t="shared" si="43"/>
        <v>0</v>
      </c>
      <c r="L39" s="5">
        <f t="shared" ref="L39:O39" si="279">L40+L41+L42</f>
        <v>0</v>
      </c>
      <c r="M39" s="5">
        <f t="shared" si="279"/>
        <v>0</v>
      </c>
      <c r="N39" s="5">
        <f t="shared" si="279"/>
        <v>0</v>
      </c>
      <c r="O39" s="5">
        <f t="shared" si="279"/>
        <v>0</v>
      </c>
      <c r="P39" s="5">
        <f>P40+P41+P42</f>
        <v>0</v>
      </c>
      <c r="Q39" s="5">
        <f t="shared" ref="Q39:AM39" si="280">Q40+Q41+Q42</f>
        <v>0</v>
      </c>
      <c r="R39" s="5">
        <f t="shared" si="280"/>
        <v>0</v>
      </c>
      <c r="S39" s="5">
        <f t="shared" si="280"/>
        <v>0</v>
      </c>
      <c r="T39" s="5">
        <f t="shared" si="280"/>
        <v>0</v>
      </c>
      <c r="U39" s="5">
        <f t="shared" si="280"/>
        <v>0</v>
      </c>
      <c r="V39" s="5">
        <f t="shared" si="280"/>
        <v>0</v>
      </c>
      <c r="W39" s="5">
        <f t="shared" si="280"/>
        <v>0</v>
      </c>
      <c r="X39" s="5">
        <f t="shared" si="280"/>
        <v>0</v>
      </c>
      <c r="Y39" s="5">
        <f t="shared" si="280"/>
        <v>0</v>
      </c>
      <c r="Z39" s="5">
        <f t="shared" si="280"/>
        <v>0</v>
      </c>
      <c r="AA39" s="5">
        <f t="shared" si="280"/>
        <v>0</v>
      </c>
      <c r="AB39" s="5">
        <f t="shared" si="280"/>
        <v>0</v>
      </c>
      <c r="AC39" s="5">
        <f t="shared" si="280"/>
        <v>0</v>
      </c>
      <c r="AD39" s="5">
        <f t="shared" si="280"/>
        <v>0</v>
      </c>
      <c r="AE39" s="5">
        <f t="shared" si="280"/>
        <v>0</v>
      </c>
      <c r="AF39" s="5">
        <f t="shared" si="280"/>
        <v>0</v>
      </c>
      <c r="AG39" s="5">
        <f t="shared" si="280"/>
        <v>0.16</v>
      </c>
      <c r="AH39" s="5">
        <f t="shared" si="280"/>
        <v>0</v>
      </c>
      <c r="AI39" s="124">
        <f t="shared" si="280"/>
        <v>4.0199999999999996</v>
      </c>
      <c r="AJ39" s="124">
        <f t="shared" si="280"/>
        <v>0</v>
      </c>
      <c r="AK39" s="124">
        <f t="shared" si="280"/>
        <v>0</v>
      </c>
      <c r="AL39" s="124">
        <f t="shared" si="280"/>
        <v>0</v>
      </c>
      <c r="AM39" s="124">
        <f t="shared" si="280"/>
        <v>0</v>
      </c>
      <c r="AN39" s="120">
        <f t="shared" si="44"/>
        <v>0</v>
      </c>
      <c r="AO39" s="120">
        <f t="shared" si="3"/>
        <v>0</v>
      </c>
      <c r="AP39" s="120">
        <f t="shared" si="4"/>
        <v>0</v>
      </c>
      <c r="AQ39" s="120">
        <f t="shared" si="5"/>
        <v>0</v>
      </c>
      <c r="AR39" s="120">
        <f t="shared" si="6"/>
        <v>0</v>
      </c>
      <c r="AS39" s="120">
        <f t="shared" si="7"/>
        <v>0</v>
      </c>
      <c r="AT39" s="120">
        <f t="shared" si="8"/>
        <v>0</v>
      </c>
      <c r="AU39" s="5">
        <f t="shared" ref="AU39" si="281">AU40+AU41+AU42</f>
        <v>0</v>
      </c>
      <c r="AV39" s="5">
        <f t="shared" ref="AV39" si="282">AV40+AV41+AV42</f>
        <v>0</v>
      </c>
      <c r="AW39" s="5">
        <f t="shared" ref="AW39" si="283">AW40+AW41+AW42</f>
        <v>0</v>
      </c>
      <c r="AX39" s="5">
        <f t="shared" ref="AX39" si="284">AX40+AX41+AX42</f>
        <v>0</v>
      </c>
      <c r="AY39" s="5">
        <f>AY40+AY41+AY42</f>
        <v>0</v>
      </c>
      <c r="AZ39" s="5">
        <f t="shared" ref="AZ39" si="285">AZ40+AZ41+AZ42</f>
        <v>0</v>
      </c>
      <c r="BA39" s="5">
        <f t="shared" ref="BA39" si="286">BA40+BA41+BA42</f>
        <v>0</v>
      </c>
      <c r="BB39" s="5">
        <f t="shared" ref="BB39" si="287">BB40+BB41+BB42</f>
        <v>0</v>
      </c>
      <c r="BC39" s="5">
        <f t="shared" ref="BC39" si="288">BC40+BC41+BC42</f>
        <v>0</v>
      </c>
      <c r="BD39" s="5">
        <f t="shared" ref="BD39" si="289">BD40+BD41+BD42</f>
        <v>0</v>
      </c>
      <c r="BE39" s="5">
        <f t="shared" ref="BE39" si="290">BE40+BE41+BE42</f>
        <v>0</v>
      </c>
      <c r="BF39" s="5">
        <f t="shared" ref="BF39" si="291">BF40+BF41+BF42</f>
        <v>0</v>
      </c>
      <c r="BG39" s="5">
        <f t="shared" ref="BG39" si="292">BG40+BG41+BG42</f>
        <v>0</v>
      </c>
      <c r="BH39" s="5">
        <f t="shared" ref="BH39" si="293">BH40+BH41+BH42</f>
        <v>0</v>
      </c>
      <c r="BI39" s="5">
        <f t="shared" ref="BI39" si="294">BI40+BI41+BI42</f>
        <v>0</v>
      </c>
      <c r="BJ39" s="5">
        <f t="shared" ref="BJ39" si="295">BJ40+BJ41+BJ42</f>
        <v>0</v>
      </c>
      <c r="BK39" s="5">
        <f t="shared" ref="BK39" si="296">BK40+BK41+BK42</f>
        <v>0</v>
      </c>
      <c r="BL39" s="5">
        <f t="shared" ref="BL39" si="297">BL40+BL41+BL42</f>
        <v>0</v>
      </c>
      <c r="BM39" s="5">
        <f t="shared" ref="BM39" si="298">BM40+BM41+BM42</f>
        <v>0</v>
      </c>
      <c r="BN39" s="5">
        <f t="shared" ref="BN39" si="299">BN40+BN41+BN42</f>
        <v>0</v>
      </c>
      <c r="BO39" s="5">
        <f t="shared" ref="BO39" si="300">BO40+BO41+BO42</f>
        <v>0</v>
      </c>
      <c r="BP39" s="5">
        <f t="shared" ref="BP39" si="301">BP40+BP41+BP42</f>
        <v>0</v>
      </c>
      <c r="BQ39" s="5">
        <f t="shared" ref="BQ39" si="302">BQ40+BQ41+BQ42</f>
        <v>0</v>
      </c>
      <c r="BR39" s="5">
        <f t="shared" ref="BR39" si="303">BR40+BR41+BR42</f>
        <v>0</v>
      </c>
      <c r="BS39" s="5">
        <f t="shared" ref="BS39" si="304">BS40+BS41+BS42</f>
        <v>0</v>
      </c>
      <c r="BT39" s="5">
        <f t="shared" ref="BT39" si="305">BT40+BT41+BT42</f>
        <v>0</v>
      </c>
      <c r="BU39" s="5">
        <f t="shared" ref="BU39" si="306">BU40+BU41+BU42</f>
        <v>0</v>
      </c>
      <c r="BV39" s="5">
        <f t="shared" ref="BV39" si="307">BV40+BV41+BV42</f>
        <v>0</v>
      </c>
      <c r="BW39" s="55">
        <f t="shared" si="45"/>
        <v>0</v>
      </c>
      <c r="BX39" s="55">
        <f t="shared" si="46"/>
        <v>0</v>
      </c>
      <c r="BY39" s="55">
        <f t="shared" si="47"/>
        <v>0</v>
      </c>
      <c r="BZ39" s="55">
        <f t="shared" si="48"/>
        <v>0</v>
      </c>
      <c r="CA39" s="55">
        <f t="shared" si="49"/>
        <v>0</v>
      </c>
      <c r="CB39" s="55">
        <f t="shared" si="50"/>
        <v>0</v>
      </c>
      <c r="CC39" s="55">
        <f t="shared" si="51"/>
        <v>0</v>
      </c>
      <c r="CD39" s="111"/>
    </row>
    <row r="40" spans="1:82" s="63" customFormat="1" ht="45">
      <c r="A40" s="91" t="s">
        <v>431</v>
      </c>
      <c r="B40" s="99" t="s">
        <v>432</v>
      </c>
      <c r="C40" s="102" t="s">
        <v>433</v>
      </c>
      <c r="D40" s="101" t="s">
        <v>385</v>
      </c>
      <c r="E40" s="120">
        <f t="shared" si="37"/>
        <v>0.16</v>
      </c>
      <c r="F40" s="120">
        <f t="shared" si="38"/>
        <v>0</v>
      </c>
      <c r="G40" s="120">
        <f t="shared" si="39"/>
        <v>0</v>
      </c>
      <c r="H40" s="120">
        <f t="shared" si="40"/>
        <v>0</v>
      </c>
      <c r="I40" s="120">
        <f t="shared" si="41"/>
        <v>0</v>
      </c>
      <c r="J40" s="120">
        <f t="shared" si="42"/>
        <v>0</v>
      </c>
      <c r="K40" s="120">
        <f t="shared" si="43"/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f>'13'!AI41</f>
        <v>0.16</v>
      </c>
      <c r="AH40" s="5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0">
        <f t="shared" si="44"/>
        <v>0</v>
      </c>
      <c r="AO40" s="120">
        <f t="shared" si="3"/>
        <v>0</v>
      </c>
      <c r="AP40" s="120">
        <f t="shared" si="4"/>
        <v>0</v>
      </c>
      <c r="AQ40" s="120">
        <f t="shared" si="5"/>
        <v>0</v>
      </c>
      <c r="AR40" s="120">
        <f t="shared" si="6"/>
        <v>0</v>
      </c>
      <c r="AS40" s="120">
        <f t="shared" si="7"/>
        <v>0</v>
      </c>
      <c r="AT40" s="120">
        <f t="shared" si="8"/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5">
        <f t="shared" si="45"/>
        <v>0</v>
      </c>
      <c r="BX40" s="55">
        <f t="shared" si="46"/>
        <v>0</v>
      </c>
      <c r="BY40" s="55">
        <f t="shared" si="47"/>
        <v>0</v>
      </c>
      <c r="BZ40" s="55">
        <f t="shared" si="48"/>
        <v>0</v>
      </c>
      <c r="CA40" s="55">
        <f t="shared" si="49"/>
        <v>0</v>
      </c>
      <c r="CB40" s="55">
        <f t="shared" si="50"/>
        <v>0</v>
      </c>
      <c r="CC40" s="55">
        <f t="shared" si="51"/>
        <v>0</v>
      </c>
      <c r="CD40" s="111"/>
    </row>
    <row r="41" spans="1:82" s="63" customFormat="1" ht="45">
      <c r="A41" s="91" t="s">
        <v>444</v>
      </c>
      <c r="B41" s="99" t="s">
        <v>435</v>
      </c>
      <c r="C41" s="102" t="s">
        <v>436</v>
      </c>
      <c r="D41" s="101" t="s">
        <v>385</v>
      </c>
      <c r="E41" s="120">
        <f t="shared" si="37"/>
        <v>0</v>
      </c>
      <c r="F41" s="120">
        <f t="shared" si="38"/>
        <v>0</v>
      </c>
      <c r="G41" s="120">
        <f t="shared" si="39"/>
        <v>0.1</v>
      </c>
      <c r="H41" s="120">
        <f t="shared" si="40"/>
        <v>0</v>
      </c>
      <c r="I41" s="120">
        <f t="shared" si="41"/>
        <v>0</v>
      </c>
      <c r="J41" s="120">
        <f t="shared" si="42"/>
        <v>0</v>
      </c>
      <c r="K41" s="120">
        <f t="shared" si="43"/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345">
        <f>'13'!AK42</f>
        <v>0.1</v>
      </c>
      <c r="AJ41" s="124">
        <v>0</v>
      </c>
      <c r="AK41" s="124">
        <v>0</v>
      </c>
      <c r="AL41" s="124">
        <v>0</v>
      </c>
      <c r="AM41" s="124">
        <v>0</v>
      </c>
      <c r="AN41" s="120">
        <f t="shared" si="44"/>
        <v>0</v>
      </c>
      <c r="AO41" s="120">
        <f t="shared" si="3"/>
        <v>0</v>
      </c>
      <c r="AP41" s="120">
        <f t="shared" si="4"/>
        <v>0</v>
      </c>
      <c r="AQ41" s="120">
        <f t="shared" si="5"/>
        <v>0</v>
      </c>
      <c r="AR41" s="120">
        <f t="shared" si="6"/>
        <v>0</v>
      </c>
      <c r="AS41" s="120">
        <f t="shared" si="7"/>
        <v>0</v>
      </c>
      <c r="AT41" s="120">
        <f t="shared" si="8"/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5">
        <f t="shared" si="45"/>
        <v>0</v>
      </c>
      <c r="BX41" s="55">
        <f t="shared" si="46"/>
        <v>0</v>
      </c>
      <c r="BY41" s="55">
        <f t="shared" si="47"/>
        <v>0</v>
      </c>
      <c r="BZ41" s="55">
        <f t="shared" si="48"/>
        <v>0</v>
      </c>
      <c r="CA41" s="55">
        <f t="shared" si="49"/>
        <v>0</v>
      </c>
      <c r="CB41" s="55">
        <f t="shared" si="50"/>
        <v>0</v>
      </c>
      <c r="CC41" s="55">
        <f t="shared" si="51"/>
        <v>0</v>
      </c>
      <c r="CD41" s="111"/>
    </row>
    <row r="42" spans="1:82" s="63" customFormat="1" ht="45">
      <c r="A42" s="91" t="s">
        <v>434</v>
      </c>
      <c r="B42" s="99" t="s">
        <v>438</v>
      </c>
      <c r="C42" s="102" t="s">
        <v>439</v>
      </c>
      <c r="D42" s="101" t="s">
        <v>385</v>
      </c>
      <c r="E42" s="120">
        <f t="shared" si="37"/>
        <v>0</v>
      </c>
      <c r="F42" s="120">
        <f t="shared" si="38"/>
        <v>0</v>
      </c>
      <c r="G42" s="120">
        <f t="shared" si="39"/>
        <v>3.92</v>
      </c>
      <c r="H42" s="120">
        <f t="shared" si="40"/>
        <v>0</v>
      </c>
      <c r="I42" s="120">
        <f t="shared" si="41"/>
        <v>0</v>
      </c>
      <c r="J42" s="120">
        <f t="shared" si="42"/>
        <v>0</v>
      </c>
      <c r="K42" s="120">
        <f t="shared" si="43"/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345">
        <f>'13'!AK43</f>
        <v>3.92</v>
      </c>
      <c r="AJ42" s="124">
        <v>0</v>
      </c>
      <c r="AK42" s="124">
        <v>0</v>
      </c>
      <c r="AL42" s="124">
        <v>0</v>
      </c>
      <c r="AM42" s="124">
        <v>0</v>
      </c>
      <c r="AN42" s="120">
        <f t="shared" si="44"/>
        <v>0</v>
      </c>
      <c r="AO42" s="120">
        <f t="shared" si="3"/>
        <v>0</v>
      </c>
      <c r="AP42" s="120">
        <f t="shared" si="4"/>
        <v>0</v>
      </c>
      <c r="AQ42" s="120">
        <f t="shared" si="5"/>
        <v>0</v>
      </c>
      <c r="AR42" s="120">
        <f t="shared" si="6"/>
        <v>0</v>
      </c>
      <c r="AS42" s="120">
        <f t="shared" si="7"/>
        <v>0</v>
      </c>
      <c r="AT42" s="120">
        <f t="shared" si="8"/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5">
        <f t="shared" si="45"/>
        <v>0</v>
      </c>
      <c r="BX42" s="55">
        <f t="shared" si="46"/>
        <v>0</v>
      </c>
      <c r="BY42" s="55">
        <f t="shared" si="47"/>
        <v>0</v>
      </c>
      <c r="BZ42" s="55">
        <f t="shared" si="48"/>
        <v>0</v>
      </c>
      <c r="CA42" s="55">
        <f t="shared" si="49"/>
        <v>0</v>
      </c>
      <c r="CB42" s="55">
        <f t="shared" si="50"/>
        <v>0</v>
      </c>
      <c r="CC42" s="55">
        <f t="shared" si="51"/>
        <v>0</v>
      </c>
      <c r="CD42" s="111"/>
    </row>
    <row r="43" spans="1:82" s="63" customFormat="1" ht="28.5">
      <c r="A43" s="108"/>
      <c r="B43" s="90" t="s">
        <v>441</v>
      </c>
      <c r="C43" s="101"/>
      <c r="D43" s="101" t="s">
        <v>385</v>
      </c>
      <c r="E43" s="120">
        <f t="shared" si="37"/>
        <v>0</v>
      </c>
      <c r="F43" s="120">
        <f t="shared" si="38"/>
        <v>0</v>
      </c>
      <c r="G43" s="120">
        <f t="shared" si="39"/>
        <v>0</v>
      </c>
      <c r="H43" s="120">
        <f t="shared" si="40"/>
        <v>0</v>
      </c>
      <c r="I43" s="120">
        <f t="shared" si="41"/>
        <v>0</v>
      </c>
      <c r="J43" s="120">
        <f t="shared" si="42"/>
        <v>0</v>
      </c>
      <c r="K43" s="120">
        <f t="shared" si="43"/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120">
        <f t="shared" si="44"/>
        <v>0</v>
      </c>
      <c r="AO43" s="120">
        <f t="shared" si="3"/>
        <v>0</v>
      </c>
      <c r="AP43" s="120">
        <f t="shared" si="4"/>
        <v>0</v>
      </c>
      <c r="AQ43" s="120">
        <f t="shared" si="5"/>
        <v>0</v>
      </c>
      <c r="AR43" s="120">
        <f t="shared" si="6"/>
        <v>0</v>
      </c>
      <c r="AS43" s="120">
        <f t="shared" si="7"/>
        <v>0</v>
      </c>
      <c r="AT43" s="120">
        <f t="shared" si="8"/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5">
        <f t="shared" si="45"/>
        <v>0</v>
      </c>
      <c r="BX43" s="55">
        <f t="shared" si="46"/>
        <v>0</v>
      </c>
      <c r="BY43" s="55">
        <f t="shared" si="47"/>
        <v>0</v>
      </c>
      <c r="BZ43" s="55">
        <f t="shared" si="48"/>
        <v>0</v>
      </c>
      <c r="CA43" s="55">
        <f t="shared" si="49"/>
        <v>0</v>
      </c>
      <c r="CB43" s="55">
        <f t="shared" si="50"/>
        <v>0</v>
      </c>
      <c r="CC43" s="55">
        <f t="shared" si="51"/>
        <v>0</v>
      </c>
      <c r="CD43" s="111"/>
    </row>
    <row r="44" spans="1:82" s="58" customFormat="1" ht="27" customHeight="1">
      <c r="A44" s="373" t="s">
        <v>31</v>
      </c>
      <c r="B44" s="374"/>
      <c r="C44" s="375"/>
      <c r="D44" s="59" t="s">
        <v>16</v>
      </c>
      <c r="E44" s="59" t="s">
        <v>284</v>
      </c>
      <c r="F44" s="59" t="s">
        <v>284</v>
      </c>
      <c r="G44" s="53">
        <f>G17</f>
        <v>13.125</v>
      </c>
      <c r="H44" s="59" t="s">
        <v>284</v>
      </c>
      <c r="I44" s="59" t="s">
        <v>284</v>
      </c>
      <c r="J44" s="59" t="s">
        <v>284</v>
      </c>
      <c r="K44" s="131">
        <f>K17</f>
        <v>227</v>
      </c>
      <c r="L44" s="59" t="s">
        <v>284</v>
      </c>
      <c r="M44" s="59" t="s">
        <v>284</v>
      </c>
      <c r="N44" s="59" t="s">
        <v>284</v>
      </c>
      <c r="O44" s="59" t="s">
        <v>284</v>
      </c>
      <c r="P44" s="59" t="s">
        <v>284</v>
      </c>
      <c r="Q44" s="59" t="s">
        <v>284</v>
      </c>
      <c r="R44" s="59" t="s">
        <v>284</v>
      </c>
      <c r="S44" s="59" t="s">
        <v>284</v>
      </c>
      <c r="T44" s="59" t="s">
        <v>284</v>
      </c>
      <c r="U44" s="59" t="s">
        <v>284</v>
      </c>
      <c r="V44" s="59" t="s">
        <v>284</v>
      </c>
      <c r="W44" s="59" t="s">
        <v>284</v>
      </c>
      <c r="X44" s="59" t="s">
        <v>284</v>
      </c>
      <c r="Y44" s="59">
        <f>Y17</f>
        <v>0</v>
      </c>
      <c r="Z44" s="59" t="s">
        <v>284</v>
      </c>
      <c r="AA44" s="59" t="s">
        <v>284</v>
      </c>
      <c r="AB44" s="59" t="s">
        <v>284</v>
      </c>
      <c r="AC44" s="59" t="s">
        <v>284</v>
      </c>
      <c r="AD44" s="59" t="s">
        <v>284</v>
      </c>
      <c r="AE44" s="59" t="s">
        <v>284</v>
      </c>
      <c r="AF44" s="110">
        <f>AF17</f>
        <v>0</v>
      </c>
      <c r="AG44" s="59" t="s">
        <v>284</v>
      </c>
      <c r="AH44" s="59" t="s">
        <v>284</v>
      </c>
      <c r="AI44" s="110">
        <f>AI17</f>
        <v>13.125</v>
      </c>
      <c r="AJ44" s="59" t="s">
        <v>284</v>
      </c>
      <c r="AK44" s="59" t="s">
        <v>284</v>
      </c>
      <c r="AL44" s="59" t="s">
        <v>284</v>
      </c>
      <c r="AM44" s="110">
        <f>AM17</f>
        <v>227</v>
      </c>
      <c r="AN44" s="110" t="s">
        <v>284</v>
      </c>
      <c r="AO44" s="72" t="s">
        <v>284</v>
      </c>
      <c r="AP44" s="110" t="s">
        <v>284</v>
      </c>
      <c r="AQ44" s="110" t="s">
        <v>284</v>
      </c>
      <c r="AR44" s="110" t="s">
        <v>284</v>
      </c>
      <c r="AS44" s="110" t="s">
        <v>284</v>
      </c>
      <c r="AT44" s="69" t="s">
        <v>284</v>
      </c>
      <c r="AU44" s="110" t="s">
        <v>284</v>
      </c>
      <c r="AV44" s="110" t="s">
        <v>284</v>
      </c>
      <c r="AW44" s="110" t="s">
        <v>284</v>
      </c>
      <c r="AX44" s="110" t="s">
        <v>284</v>
      </c>
      <c r="AY44" s="110" t="s">
        <v>284</v>
      </c>
      <c r="AZ44" s="110" t="s">
        <v>284</v>
      </c>
      <c r="BA44" s="110" t="s">
        <v>284</v>
      </c>
      <c r="BB44" s="110" t="s">
        <v>284</v>
      </c>
      <c r="BC44" s="110" t="s">
        <v>284</v>
      </c>
      <c r="BD44" s="110" t="s">
        <v>284</v>
      </c>
      <c r="BE44" s="110" t="s">
        <v>284</v>
      </c>
      <c r="BF44" s="110" t="s">
        <v>284</v>
      </c>
      <c r="BG44" s="110" t="s">
        <v>284</v>
      </c>
      <c r="BH44" s="56">
        <v>0</v>
      </c>
      <c r="BI44" s="110" t="s">
        <v>284</v>
      </c>
      <c r="BJ44" s="110" t="s">
        <v>284</v>
      </c>
      <c r="BK44" s="110" t="s">
        <v>284</v>
      </c>
      <c r="BL44" s="110" t="s">
        <v>284</v>
      </c>
      <c r="BM44" s="110" t="s">
        <v>284</v>
      </c>
      <c r="BN44" s="110" t="s">
        <v>284</v>
      </c>
      <c r="BO44" s="110" t="s">
        <v>284</v>
      </c>
      <c r="BP44" s="110" t="s">
        <v>284</v>
      </c>
      <c r="BQ44" s="110" t="s">
        <v>284</v>
      </c>
      <c r="BR44" s="110" t="s">
        <v>284</v>
      </c>
      <c r="BS44" s="110" t="s">
        <v>284</v>
      </c>
      <c r="BT44" s="110" t="s">
        <v>284</v>
      </c>
      <c r="BU44" s="110" t="s">
        <v>284</v>
      </c>
      <c r="BV44" s="110" t="s">
        <v>284</v>
      </c>
      <c r="BW44" s="110" t="s">
        <v>284</v>
      </c>
      <c r="BX44" s="56" t="s">
        <v>284</v>
      </c>
      <c r="BY44" s="56" t="s">
        <v>284</v>
      </c>
      <c r="BZ44" s="110" t="s">
        <v>284</v>
      </c>
      <c r="CA44" s="110" t="s">
        <v>284</v>
      </c>
      <c r="CB44" s="110" t="s">
        <v>284</v>
      </c>
      <c r="CC44" s="110" t="s">
        <v>284</v>
      </c>
      <c r="CD44" s="110"/>
    </row>
    <row r="45" spans="1:82" ht="28.5" customHeight="1"/>
    <row r="46" spans="1:82" ht="18" customHeight="1">
      <c r="A46" s="398" t="s">
        <v>51</v>
      </c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</row>
    <row r="49" ht="19.5" customHeight="1"/>
  </sheetData>
  <mergeCells count="32">
    <mergeCell ref="BW12:CC14"/>
    <mergeCell ref="CD12:CD15"/>
    <mergeCell ref="AN13:BV13"/>
    <mergeCell ref="AN14:AT14"/>
    <mergeCell ref="AU14:BA14"/>
    <mergeCell ref="BB14:BH14"/>
    <mergeCell ref="BI14:BO14"/>
    <mergeCell ref="BP14:BV14"/>
    <mergeCell ref="A46:AS46"/>
    <mergeCell ref="A44:C44"/>
    <mergeCell ref="A12:A15"/>
    <mergeCell ref="B12:B15"/>
    <mergeCell ref="C12:C15"/>
    <mergeCell ref="D12:D15"/>
    <mergeCell ref="E14:K14"/>
    <mergeCell ref="L14:R14"/>
    <mergeCell ref="S14:Y14"/>
    <mergeCell ref="Z14:AF14"/>
    <mergeCell ref="E13:AM13"/>
    <mergeCell ref="E12:AM12"/>
    <mergeCell ref="AG14:AM14"/>
    <mergeCell ref="AN12:BV12"/>
    <mergeCell ref="A10:T10"/>
    <mergeCell ref="AH1:AK1"/>
    <mergeCell ref="AH2:AK2"/>
    <mergeCell ref="AH3:AK3"/>
    <mergeCell ref="A5:T5"/>
    <mergeCell ref="A6:T6"/>
    <mergeCell ref="A7:T7"/>
    <mergeCell ref="A8:T8"/>
    <mergeCell ref="A9:T9"/>
    <mergeCell ref="A4:AK4"/>
  </mergeCells>
  <pageMargins left="0.24" right="0.16" top="0.23" bottom="0.2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zoomScale="60" zoomScaleNormal="60" workbookViewId="0">
      <selection activeCell="A5" sqref="A5:T5"/>
    </sheetView>
  </sheetViews>
  <sheetFormatPr defaultRowHeight="15"/>
  <cols>
    <col min="1" max="1" width="13.85546875" customWidth="1"/>
    <col min="2" max="2" width="49" customWidth="1"/>
    <col min="3" max="3" width="16.42578125" customWidth="1"/>
    <col min="4" max="4" width="16.140625" customWidth="1"/>
    <col min="50" max="54" width="9.140625" customWidth="1"/>
    <col min="60" max="60" width="10.7109375" customWidth="1"/>
  </cols>
  <sheetData>
    <row r="1" spans="1:60" ht="21" customHeight="1">
      <c r="BE1" s="362" t="s">
        <v>221</v>
      </c>
      <c r="BF1" s="362"/>
      <c r="BG1" s="362"/>
      <c r="BH1" s="32"/>
    </row>
    <row r="2" spans="1:60" ht="16.5" customHeight="1">
      <c r="BE2" s="362" t="s">
        <v>19</v>
      </c>
      <c r="BF2" s="362"/>
      <c r="BG2" s="362"/>
      <c r="BH2" s="362"/>
    </row>
    <row r="3" spans="1:60" ht="21" customHeight="1">
      <c r="BE3" s="362" t="s">
        <v>20</v>
      </c>
      <c r="BF3" s="362"/>
      <c r="BG3" s="362"/>
      <c r="BH3" s="362"/>
    </row>
    <row r="4" spans="1:60" ht="18.75" customHeight="1">
      <c r="A4" s="352" t="s">
        <v>302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</row>
    <row r="5" spans="1:60" ht="16.5" customHeight="1">
      <c r="A5" s="347" t="s">
        <v>1135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60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45"/>
      <c r="V6" s="45"/>
      <c r="W6" s="45"/>
      <c r="X6" s="45"/>
      <c r="Y6" s="45"/>
      <c r="Z6" s="45"/>
      <c r="AA6" s="45"/>
    </row>
    <row r="7" spans="1:60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44"/>
      <c r="V7" s="44"/>
      <c r="W7" s="44"/>
      <c r="X7" s="44"/>
      <c r="Y7" s="44"/>
      <c r="Z7" s="44"/>
      <c r="AA7" s="44"/>
    </row>
    <row r="8" spans="1:60" ht="23.2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45"/>
      <c r="V8" s="45"/>
      <c r="W8" s="45"/>
      <c r="X8" s="45"/>
      <c r="Y8" s="45"/>
      <c r="Z8" s="45"/>
      <c r="AA8" s="45"/>
    </row>
    <row r="9" spans="1:60" ht="20.25" customHeight="1">
      <c r="A9" s="347" t="s">
        <v>1108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60" s="17" customFormat="1" ht="18.75" customHeight="1">
      <c r="A10" s="402" t="s">
        <v>63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64"/>
      <c r="V10" s="64"/>
      <c r="W10" s="64"/>
      <c r="X10" s="64"/>
      <c r="Y10" s="64"/>
      <c r="Z10" s="64"/>
      <c r="AA10" s="64"/>
    </row>
    <row r="11" spans="1:60" s="17" customFormat="1" ht="18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4"/>
      <c r="V11" s="64"/>
      <c r="W11" s="64"/>
      <c r="X11" s="64"/>
      <c r="Y11" s="64"/>
      <c r="Z11" s="64"/>
      <c r="AA11" s="64"/>
    </row>
    <row r="12" spans="1:60" ht="41.25" customHeight="1">
      <c r="A12" s="377" t="s">
        <v>0</v>
      </c>
      <c r="B12" s="377" t="s">
        <v>1</v>
      </c>
      <c r="C12" s="377" t="s">
        <v>2</v>
      </c>
      <c r="D12" s="377" t="s">
        <v>222</v>
      </c>
      <c r="E12" s="377" t="s">
        <v>1127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 t="s">
        <v>187</v>
      </c>
      <c r="BD12" s="377"/>
      <c r="BE12" s="377"/>
      <c r="BF12" s="377"/>
      <c r="BG12" s="377"/>
      <c r="BH12" s="377" t="s">
        <v>25</v>
      </c>
    </row>
    <row r="13" spans="1:60">
      <c r="A13" s="377"/>
      <c r="B13" s="377"/>
      <c r="C13" s="377"/>
      <c r="D13" s="377"/>
      <c r="E13" s="377" t="s">
        <v>6</v>
      </c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 t="s">
        <v>7</v>
      </c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</row>
    <row r="14" spans="1:60">
      <c r="A14" s="377"/>
      <c r="B14" s="377"/>
      <c r="C14" s="377"/>
      <c r="D14" s="377"/>
      <c r="E14" s="377" t="s">
        <v>109</v>
      </c>
      <c r="F14" s="377"/>
      <c r="G14" s="377"/>
      <c r="H14" s="377"/>
      <c r="I14" s="377"/>
      <c r="J14" s="377" t="s">
        <v>110</v>
      </c>
      <c r="K14" s="377"/>
      <c r="L14" s="377"/>
      <c r="M14" s="377"/>
      <c r="N14" s="377"/>
      <c r="O14" s="377" t="s">
        <v>111</v>
      </c>
      <c r="P14" s="377"/>
      <c r="Q14" s="377"/>
      <c r="R14" s="377"/>
      <c r="S14" s="377"/>
      <c r="T14" s="377" t="s">
        <v>112</v>
      </c>
      <c r="U14" s="377"/>
      <c r="V14" s="377"/>
      <c r="W14" s="377"/>
      <c r="X14" s="377"/>
      <c r="Y14" s="377" t="s">
        <v>113</v>
      </c>
      <c r="Z14" s="377"/>
      <c r="AA14" s="377"/>
      <c r="AB14" s="377"/>
      <c r="AC14" s="377"/>
      <c r="AD14" s="377" t="s">
        <v>109</v>
      </c>
      <c r="AE14" s="377"/>
      <c r="AF14" s="377"/>
      <c r="AG14" s="377"/>
      <c r="AH14" s="377"/>
      <c r="AI14" s="377" t="s">
        <v>223</v>
      </c>
      <c r="AJ14" s="377"/>
      <c r="AK14" s="377"/>
      <c r="AL14" s="377"/>
      <c r="AM14" s="377"/>
      <c r="AN14" s="377" t="s">
        <v>111</v>
      </c>
      <c r="AO14" s="377"/>
      <c r="AP14" s="377"/>
      <c r="AQ14" s="377"/>
      <c r="AR14" s="377"/>
      <c r="AS14" s="377" t="s">
        <v>112</v>
      </c>
      <c r="AT14" s="377"/>
      <c r="AU14" s="377"/>
      <c r="AV14" s="377"/>
      <c r="AW14" s="377"/>
      <c r="AX14" s="377" t="s">
        <v>113</v>
      </c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</row>
    <row r="15" spans="1:60">
      <c r="A15" s="377"/>
      <c r="B15" s="377"/>
      <c r="C15" s="377"/>
      <c r="D15" s="377"/>
      <c r="E15" s="50" t="s">
        <v>39</v>
      </c>
      <c r="F15" s="50" t="s">
        <v>40</v>
      </c>
      <c r="G15" s="50" t="s">
        <v>41</v>
      </c>
      <c r="H15" s="50" t="s">
        <v>42</v>
      </c>
      <c r="I15" s="50" t="s">
        <v>43</v>
      </c>
      <c r="J15" s="50" t="s">
        <v>39</v>
      </c>
      <c r="K15" s="50" t="s">
        <v>40</v>
      </c>
      <c r="L15" s="50" t="s">
        <v>41</v>
      </c>
      <c r="M15" s="50" t="s">
        <v>42</v>
      </c>
      <c r="N15" s="50" t="s">
        <v>43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43</v>
      </c>
      <c r="T15" s="50" t="s">
        <v>39</v>
      </c>
      <c r="U15" s="50" t="s">
        <v>40</v>
      </c>
      <c r="V15" s="50" t="s">
        <v>41</v>
      </c>
      <c r="W15" s="50" t="s">
        <v>42</v>
      </c>
      <c r="X15" s="50" t="s">
        <v>43</v>
      </c>
      <c r="Y15" s="50" t="s">
        <v>39</v>
      </c>
      <c r="Z15" s="50" t="s">
        <v>40</v>
      </c>
      <c r="AA15" s="50" t="s">
        <v>41</v>
      </c>
      <c r="AB15" s="50" t="s">
        <v>42</v>
      </c>
      <c r="AC15" s="50" t="s">
        <v>43</v>
      </c>
      <c r="AD15" s="50" t="s">
        <v>39</v>
      </c>
      <c r="AE15" s="50" t="s">
        <v>40</v>
      </c>
      <c r="AF15" s="50" t="s">
        <v>41</v>
      </c>
      <c r="AG15" s="50" t="s">
        <v>42</v>
      </c>
      <c r="AH15" s="50" t="s">
        <v>43</v>
      </c>
      <c r="AI15" s="50" t="s">
        <v>39</v>
      </c>
      <c r="AJ15" s="50" t="s">
        <v>40</v>
      </c>
      <c r="AK15" s="50" t="s">
        <v>41</v>
      </c>
      <c r="AL15" s="50" t="s">
        <v>42</v>
      </c>
      <c r="AM15" s="50" t="s">
        <v>43</v>
      </c>
      <c r="AN15" s="50" t="s">
        <v>39</v>
      </c>
      <c r="AO15" s="50" t="s">
        <v>40</v>
      </c>
      <c r="AP15" s="50" t="s">
        <v>41</v>
      </c>
      <c r="AQ15" s="50" t="s">
        <v>42</v>
      </c>
      <c r="AR15" s="50" t="s">
        <v>43</v>
      </c>
      <c r="AS15" s="50" t="s">
        <v>39</v>
      </c>
      <c r="AT15" s="50" t="s">
        <v>40</v>
      </c>
      <c r="AU15" s="50" t="s">
        <v>41</v>
      </c>
      <c r="AV15" s="50" t="s">
        <v>42</v>
      </c>
      <c r="AW15" s="50" t="s">
        <v>43</v>
      </c>
      <c r="AX15" s="50" t="s">
        <v>39</v>
      </c>
      <c r="AY15" s="50" t="s">
        <v>40</v>
      </c>
      <c r="AZ15" s="50" t="s">
        <v>41</v>
      </c>
      <c r="BA15" s="50" t="s">
        <v>42</v>
      </c>
      <c r="BB15" s="50" t="s">
        <v>43</v>
      </c>
      <c r="BC15" s="50" t="s">
        <v>39</v>
      </c>
      <c r="BD15" s="50" t="s">
        <v>40</v>
      </c>
      <c r="BE15" s="50" t="s">
        <v>41</v>
      </c>
      <c r="BF15" s="50" t="s">
        <v>42</v>
      </c>
      <c r="BG15" s="50" t="s">
        <v>43</v>
      </c>
      <c r="BH15" s="377"/>
    </row>
    <row r="16" spans="1:60">
      <c r="A16" s="50">
        <v>1</v>
      </c>
      <c r="B16" s="50">
        <v>2</v>
      </c>
      <c r="C16" s="50">
        <v>3</v>
      </c>
      <c r="D16" s="50">
        <v>4</v>
      </c>
      <c r="E16" s="50" t="s">
        <v>115</v>
      </c>
      <c r="F16" s="50" t="s">
        <v>116</v>
      </c>
      <c r="G16" s="50" t="s">
        <v>117</v>
      </c>
      <c r="H16" s="50" t="s">
        <v>118</v>
      </c>
      <c r="I16" s="50" t="s">
        <v>119</v>
      </c>
      <c r="J16" s="50" t="s">
        <v>122</v>
      </c>
      <c r="K16" s="50" t="s">
        <v>123</v>
      </c>
      <c r="L16" s="50" t="s">
        <v>124</v>
      </c>
      <c r="M16" s="50" t="s">
        <v>125</v>
      </c>
      <c r="N16" s="50" t="s">
        <v>126</v>
      </c>
      <c r="O16" s="50" t="s">
        <v>129</v>
      </c>
      <c r="P16" s="50" t="s">
        <v>130</v>
      </c>
      <c r="Q16" s="50" t="s">
        <v>131</v>
      </c>
      <c r="R16" s="50" t="s">
        <v>132</v>
      </c>
      <c r="S16" s="50" t="s">
        <v>133</v>
      </c>
      <c r="T16" s="50" t="s">
        <v>136</v>
      </c>
      <c r="U16" s="50" t="s">
        <v>137</v>
      </c>
      <c r="V16" s="50" t="s">
        <v>138</v>
      </c>
      <c r="W16" s="50" t="s">
        <v>139</v>
      </c>
      <c r="X16" s="50" t="s">
        <v>140</v>
      </c>
      <c r="Y16" s="50" t="s">
        <v>143</v>
      </c>
      <c r="Z16" s="50" t="s">
        <v>144</v>
      </c>
      <c r="AA16" s="50" t="s">
        <v>145</v>
      </c>
      <c r="AB16" s="50" t="s">
        <v>146</v>
      </c>
      <c r="AC16" s="50" t="s">
        <v>147</v>
      </c>
      <c r="AD16" s="50" t="s">
        <v>160</v>
      </c>
      <c r="AE16" s="50" t="s">
        <v>161</v>
      </c>
      <c r="AF16" s="50" t="s">
        <v>162</v>
      </c>
      <c r="AG16" s="50" t="s">
        <v>163</v>
      </c>
      <c r="AH16" s="50" t="s">
        <v>164</v>
      </c>
      <c r="AI16" s="50" t="s">
        <v>191</v>
      </c>
      <c r="AJ16" s="50" t="s">
        <v>192</v>
      </c>
      <c r="AK16" s="50" t="s">
        <v>193</v>
      </c>
      <c r="AL16" s="50" t="s">
        <v>194</v>
      </c>
      <c r="AM16" s="50" t="s">
        <v>195</v>
      </c>
      <c r="AN16" s="50" t="s">
        <v>198</v>
      </c>
      <c r="AO16" s="50" t="s">
        <v>199</v>
      </c>
      <c r="AP16" s="50" t="s">
        <v>200</v>
      </c>
      <c r="AQ16" s="50" t="s">
        <v>201</v>
      </c>
      <c r="AR16" s="50" t="s">
        <v>202</v>
      </c>
      <c r="AS16" s="50" t="s">
        <v>205</v>
      </c>
      <c r="AT16" s="50" t="s">
        <v>206</v>
      </c>
      <c r="AU16" s="50" t="s">
        <v>207</v>
      </c>
      <c r="AV16" s="50" t="s">
        <v>208</v>
      </c>
      <c r="AW16" s="50" t="s">
        <v>209</v>
      </c>
      <c r="AX16" s="50" t="s">
        <v>212</v>
      </c>
      <c r="AY16" s="50" t="s">
        <v>213</v>
      </c>
      <c r="AZ16" s="50" t="s">
        <v>214</v>
      </c>
      <c r="BA16" s="50" t="s">
        <v>215</v>
      </c>
      <c r="BB16" s="50" t="s">
        <v>216</v>
      </c>
      <c r="BC16" s="50" t="s">
        <v>165</v>
      </c>
      <c r="BD16" s="50" t="s">
        <v>166</v>
      </c>
      <c r="BE16" s="50" t="s">
        <v>167</v>
      </c>
      <c r="BF16" s="50" t="s">
        <v>168</v>
      </c>
      <c r="BG16" s="50" t="s">
        <v>169</v>
      </c>
      <c r="BH16" s="50">
        <v>8</v>
      </c>
    </row>
    <row r="17" spans="1:60" ht="28.5">
      <c r="A17" s="83" t="s">
        <v>384</v>
      </c>
      <c r="B17" s="84" t="s">
        <v>31</v>
      </c>
      <c r="C17" s="100" t="s">
        <v>385</v>
      </c>
      <c r="D17" s="101" t="s">
        <v>385</v>
      </c>
      <c r="E17" s="120">
        <f>J17+O17+T17+Y17</f>
        <v>0</v>
      </c>
      <c r="F17" s="120">
        <f t="shared" ref="F17:I32" si="0">K17+P17+U17+Z17</f>
        <v>0</v>
      </c>
      <c r="G17" s="120">
        <f t="shared" si="0"/>
        <v>0</v>
      </c>
      <c r="H17" s="120">
        <f t="shared" si="0"/>
        <v>0</v>
      </c>
      <c r="I17" s="120">
        <f>N17+S17+X17+AC17</f>
        <v>0</v>
      </c>
      <c r="J17" s="120">
        <f t="shared" ref="J17:M17" si="1">J18+J19+J20+J21+J22+J23</f>
        <v>0</v>
      </c>
      <c r="K17" s="120">
        <f t="shared" si="1"/>
        <v>0</v>
      </c>
      <c r="L17" s="120">
        <f>L18+L19+L20+L21+L22+L23</f>
        <v>0</v>
      </c>
      <c r="M17" s="120">
        <f t="shared" si="1"/>
        <v>0</v>
      </c>
      <c r="N17" s="120">
        <f>N18+N19+N20+N21+N22+N23</f>
        <v>0</v>
      </c>
      <c r="O17" s="120">
        <f t="shared" ref="O17:R17" si="2">O18+O19+O20+O21+O22+O23</f>
        <v>0</v>
      </c>
      <c r="P17" s="120">
        <f t="shared" si="2"/>
        <v>0</v>
      </c>
      <c r="Q17" s="120">
        <f t="shared" si="2"/>
        <v>0</v>
      </c>
      <c r="R17" s="120">
        <f t="shared" si="2"/>
        <v>0</v>
      </c>
      <c r="S17" s="120">
        <f>S18+S19+S20+S21+S22+S23</f>
        <v>0</v>
      </c>
      <c r="T17" s="120">
        <f t="shared" ref="T17:W17" si="3">T18+T19+T20+T21+T22+T23</f>
        <v>0</v>
      </c>
      <c r="U17" s="120">
        <f t="shared" si="3"/>
        <v>0</v>
      </c>
      <c r="V17" s="120">
        <f t="shared" si="3"/>
        <v>0</v>
      </c>
      <c r="W17" s="120">
        <f t="shared" si="3"/>
        <v>0</v>
      </c>
      <c r="X17" s="120">
        <f>X18+X19+X20+X21+X22+X23</f>
        <v>0</v>
      </c>
      <c r="Y17" s="120">
        <f t="shared" ref="Y17" si="4">Y18+Y19+Y20+Y21+Y22+Y23</f>
        <v>0</v>
      </c>
      <c r="Z17" s="120">
        <f t="shared" ref="Z17" si="5">Z18+Z19+Z20+Z21+Z22+Z23</f>
        <v>0</v>
      </c>
      <c r="AA17" s="120">
        <f t="shared" ref="AA17" si="6">AA18+AA19+AA20+AA21+AA22+AA23</f>
        <v>0</v>
      </c>
      <c r="AB17" s="120">
        <f t="shared" ref="AB17" si="7">AB18+AB19+AB20+AB21+AB22+AB23</f>
        <v>0</v>
      </c>
      <c r="AC17" s="120">
        <f>AC18+AC19+AC20+AC21+AC22+AC23</f>
        <v>0</v>
      </c>
      <c r="AD17" s="120">
        <f>AI17+AN17+AS17+AX17</f>
        <v>0</v>
      </c>
      <c r="AE17" s="120">
        <f t="shared" ref="AE17:AE43" si="8">AJ17+AO17+AT17+AY17</f>
        <v>0</v>
      </c>
      <c r="AF17" s="120">
        <f t="shared" ref="AF17:AF43" si="9">AK17+AP17+AU17+AZ17</f>
        <v>0</v>
      </c>
      <c r="AG17" s="120">
        <f t="shared" ref="AG17:AG43" si="10">AL17+AQ17+AV17+BA17</f>
        <v>0</v>
      </c>
      <c r="AH17" s="120">
        <f>AM17+AR17+AW17+BB17</f>
        <v>0</v>
      </c>
      <c r="AI17" s="120">
        <f t="shared" ref="AI17" si="11">AI18+AI19+AI20+AI21+AI22+AI23</f>
        <v>0</v>
      </c>
      <c r="AJ17" s="120">
        <f t="shared" ref="AJ17" si="12">AJ18+AJ19+AJ20+AJ21+AJ22+AJ23</f>
        <v>0</v>
      </c>
      <c r="AK17" s="120">
        <f t="shared" ref="AK17" si="13">AK18+AK19+AK20+AK21+AK22+AK23</f>
        <v>0</v>
      </c>
      <c r="AL17" s="120">
        <f t="shared" ref="AL17" si="14">AL18+AL19+AL20+AL21+AL22+AL23</f>
        <v>0</v>
      </c>
      <c r="AM17" s="120">
        <f>AM18+AM19+AM20+AM21+AM22+AM23</f>
        <v>0</v>
      </c>
      <c r="AN17" s="120">
        <f t="shared" ref="AN17" si="15">AN18+AN19+AN20+AN21+AN22+AN23</f>
        <v>0</v>
      </c>
      <c r="AO17" s="120">
        <f t="shared" ref="AO17" si="16">AO18+AO19+AO20+AO21+AO22+AO23</f>
        <v>0</v>
      </c>
      <c r="AP17" s="120">
        <f t="shared" ref="AP17" si="17">AP18+AP19+AP20+AP21+AP22+AP23</f>
        <v>0</v>
      </c>
      <c r="AQ17" s="120">
        <f t="shared" ref="AQ17" si="18">AQ18+AQ19+AQ20+AQ21+AQ22+AQ23</f>
        <v>0</v>
      </c>
      <c r="AR17" s="120">
        <f>AR18+AR19+AR20+AR21+AR22+AR23</f>
        <v>0</v>
      </c>
      <c r="AS17" s="120">
        <f t="shared" ref="AS17" si="19">AS18+AS19+AS20+AS21+AS22+AS23</f>
        <v>0</v>
      </c>
      <c r="AT17" s="120">
        <f t="shared" ref="AT17" si="20">AT18+AT19+AT20+AT21+AT22+AT23</f>
        <v>0</v>
      </c>
      <c r="AU17" s="120">
        <f t="shared" ref="AU17" si="21">AU18+AU19+AU20+AU21+AU22+AU23</f>
        <v>0</v>
      </c>
      <c r="AV17" s="120">
        <f t="shared" ref="AV17" si="22">AV18+AV19+AV20+AV21+AV22+AV23</f>
        <v>0</v>
      </c>
      <c r="AW17" s="120">
        <f>AW18+AW19+AW20+AW21+AW22+AW23</f>
        <v>0</v>
      </c>
      <c r="AX17" s="120">
        <f t="shared" ref="AX17" si="23">AX18+AX19+AX20+AX21+AX22+AX23</f>
        <v>0</v>
      </c>
      <c r="AY17" s="120">
        <f t="shared" ref="AY17" si="24">AY18+AY19+AY20+AY21+AY22+AY23</f>
        <v>0</v>
      </c>
      <c r="AZ17" s="120">
        <f t="shared" ref="AZ17" si="25">AZ18+AZ19+AZ20+AZ21+AZ22+AZ23</f>
        <v>0</v>
      </c>
      <c r="BA17" s="120">
        <f t="shared" ref="BA17" si="26">BA18+BA19+BA20+BA21+BA22+BA23</f>
        <v>0</v>
      </c>
      <c r="BB17" s="120">
        <f>BB18+BB19+BB20+BB21+BB22+BB23</f>
        <v>0</v>
      </c>
      <c r="BC17" s="120">
        <f>AD17-(E17-Y17)</f>
        <v>0</v>
      </c>
      <c r="BD17" s="120">
        <f t="shared" ref="BD17:BG17" si="27">AE17-(F17-Z17)</f>
        <v>0</v>
      </c>
      <c r="BE17" s="120">
        <f t="shared" si="27"/>
        <v>0</v>
      </c>
      <c r="BF17" s="120">
        <f t="shared" si="27"/>
        <v>0</v>
      </c>
      <c r="BG17" s="120">
        <f t="shared" si="27"/>
        <v>0</v>
      </c>
      <c r="BH17" s="111"/>
    </row>
    <row r="18" spans="1:60" ht="15.75">
      <c r="A18" s="85" t="s">
        <v>386</v>
      </c>
      <c r="B18" s="86" t="s">
        <v>387</v>
      </c>
      <c r="C18" s="101" t="s">
        <v>385</v>
      </c>
      <c r="D18" s="101" t="s">
        <v>385</v>
      </c>
      <c r="E18" s="120">
        <f t="shared" ref="E18:I43" si="28">J18+O18+T18+Y18</f>
        <v>0</v>
      </c>
      <c r="F18" s="120">
        <f t="shared" si="0"/>
        <v>0</v>
      </c>
      <c r="G18" s="120">
        <f t="shared" si="0"/>
        <v>0</v>
      </c>
      <c r="H18" s="120">
        <f t="shared" si="0"/>
        <v>0</v>
      </c>
      <c r="I18" s="120">
        <f t="shared" si="0"/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f t="shared" ref="AD18:AD43" si="29">AI18+AN18+AS18+AX18</f>
        <v>0</v>
      </c>
      <c r="AE18" s="120">
        <f t="shared" si="8"/>
        <v>0</v>
      </c>
      <c r="AF18" s="120">
        <f t="shared" si="9"/>
        <v>0</v>
      </c>
      <c r="AG18" s="120">
        <f t="shared" si="10"/>
        <v>0</v>
      </c>
      <c r="AH18" s="120">
        <f t="shared" ref="AH18:AH43" si="30">AM18+AR18+AW18+BB18</f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f t="shared" ref="BC18:BC43" si="31">AD18-(E18-Y18)</f>
        <v>0</v>
      </c>
      <c r="BD18" s="120">
        <f t="shared" ref="BD18:BD43" si="32">AE18-(F18-Z18)</f>
        <v>0</v>
      </c>
      <c r="BE18" s="120">
        <f t="shared" ref="BE18:BE43" si="33">AF18-(G18-AA18)</f>
        <v>0</v>
      </c>
      <c r="BF18" s="120">
        <f t="shared" ref="BF18:BF43" si="34">AG18-(H18-AB18)</f>
        <v>0</v>
      </c>
      <c r="BG18" s="120">
        <f t="shared" ref="BG18:BG43" si="35">AH18-(I18-AC18)</f>
        <v>0</v>
      </c>
      <c r="BH18" s="111"/>
    </row>
    <row r="19" spans="1:60" ht="30">
      <c r="A19" s="87" t="s">
        <v>388</v>
      </c>
      <c r="B19" s="88" t="s">
        <v>389</v>
      </c>
      <c r="C19" s="101" t="s">
        <v>385</v>
      </c>
      <c r="D19" s="101" t="s">
        <v>385</v>
      </c>
      <c r="E19" s="120">
        <f t="shared" si="28"/>
        <v>0</v>
      </c>
      <c r="F19" s="120">
        <f t="shared" si="0"/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0">
        <f t="shared" ref="J19:M19" si="36">J25</f>
        <v>0</v>
      </c>
      <c r="K19" s="120">
        <f>K25</f>
        <v>0</v>
      </c>
      <c r="L19" s="120">
        <f t="shared" si="36"/>
        <v>0</v>
      </c>
      <c r="M19" s="120">
        <f t="shared" si="36"/>
        <v>0</v>
      </c>
      <c r="N19" s="120">
        <f>N25</f>
        <v>0</v>
      </c>
      <c r="O19" s="120">
        <f t="shared" ref="O19:R19" si="37">O25</f>
        <v>0</v>
      </c>
      <c r="P19" s="120">
        <f t="shared" si="37"/>
        <v>0</v>
      </c>
      <c r="Q19" s="120">
        <f t="shared" si="37"/>
        <v>0</v>
      </c>
      <c r="R19" s="120">
        <f t="shared" si="37"/>
        <v>0</v>
      </c>
      <c r="S19" s="120">
        <f>S25</f>
        <v>0</v>
      </c>
      <c r="T19" s="120">
        <f t="shared" ref="T19:W19" si="38">T25</f>
        <v>0</v>
      </c>
      <c r="U19" s="120">
        <f t="shared" si="38"/>
        <v>0</v>
      </c>
      <c r="V19" s="120">
        <f t="shared" si="38"/>
        <v>0</v>
      </c>
      <c r="W19" s="120">
        <f t="shared" si="38"/>
        <v>0</v>
      </c>
      <c r="X19" s="120">
        <f>X25</f>
        <v>0</v>
      </c>
      <c r="Y19" s="120">
        <f t="shared" ref="Y19:AB19" si="39">Y25</f>
        <v>0</v>
      </c>
      <c r="Z19" s="120">
        <f t="shared" si="39"/>
        <v>0</v>
      </c>
      <c r="AA19" s="120">
        <f t="shared" si="39"/>
        <v>0</v>
      </c>
      <c r="AB19" s="120">
        <f t="shared" si="39"/>
        <v>0</v>
      </c>
      <c r="AC19" s="120">
        <f>AC25</f>
        <v>0</v>
      </c>
      <c r="AD19" s="120">
        <f t="shared" si="29"/>
        <v>0</v>
      </c>
      <c r="AE19" s="120">
        <f t="shared" si="8"/>
        <v>0</v>
      </c>
      <c r="AF19" s="120">
        <f t="shared" si="9"/>
        <v>0</v>
      </c>
      <c r="AG19" s="120">
        <f t="shared" si="10"/>
        <v>0</v>
      </c>
      <c r="AH19" s="120">
        <f t="shared" si="30"/>
        <v>0</v>
      </c>
      <c r="AI19" s="120">
        <f t="shared" ref="AI19:AL19" si="40">AI25</f>
        <v>0</v>
      </c>
      <c r="AJ19" s="120">
        <f t="shared" si="40"/>
        <v>0</v>
      </c>
      <c r="AK19" s="120">
        <f t="shared" si="40"/>
        <v>0</v>
      </c>
      <c r="AL19" s="120">
        <f t="shared" si="40"/>
        <v>0</v>
      </c>
      <c r="AM19" s="120">
        <f>AM25</f>
        <v>0</v>
      </c>
      <c r="AN19" s="120">
        <f t="shared" ref="AN19:AQ19" si="41">AN25</f>
        <v>0</v>
      </c>
      <c r="AO19" s="120">
        <f t="shared" si="41"/>
        <v>0</v>
      </c>
      <c r="AP19" s="120">
        <f t="shared" si="41"/>
        <v>0</v>
      </c>
      <c r="AQ19" s="120">
        <f t="shared" si="41"/>
        <v>0</v>
      </c>
      <c r="AR19" s="120">
        <f>AR25</f>
        <v>0</v>
      </c>
      <c r="AS19" s="120">
        <f t="shared" ref="AS19:AV19" si="42">AS25</f>
        <v>0</v>
      </c>
      <c r="AT19" s="120">
        <f t="shared" si="42"/>
        <v>0</v>
      </c>
      <c r="AU19" s="120">
        <f t="shared" si="42"/>
        <v>0</v>
      </c>
      <c r="AV19" s="120">
        <f t="shared" si="42"/>
        <v>0</v>
      </c>
      <c r="AW19" s="120">
        <f>AW25</f>
        <v>0</v>
      </c>
      <c r="AX19" s="120">
        <f t="shared" ref="AX19:BA19" si="43">AX25</f>
        <v>0</v>
      </c>
      <c r="AY19" s="120">
        <f t="shared" si="43"/>
        <v>0</v>
      </c>
      <c r="AZ19" s="120">
        <f t="shared" si="43"/>
        <v>0</v>
      </c>
      <c r="BA19" s="120">
        <f t="shared" si="43"/>
        <v>0</v>
      </c>
      <c r="BB19" s="120">
        <f>BB25</f>
        <v>0</v>
      </c>
      <c r="BC19" s="120">
        <f t="shared" si="31"/>
        <v>0</v>
      </c>
      <c r="BD19" s="120">
        <f t="shared" si="32"/>
        <v>0</v>
      </c>
      <c r="BE19" s="120">
        <f t="shared" si="33"/>
        <v>0</v>
      </c>
      <c r="BF19" s="120">
        <f t="shared" si="34"/>
        <v>0</v>
      </c>
      <c r="BG19" s="120">
        <f t="shared" si="35"/>
        <v>0</v>
      </c>
      <c r="BH19" s="111"/>
    </row>
    <row r="20" spans="1:60" ht="45">
      <c r="A20" s="87" t="s">
        <v>390</v>
      </c>
      <c r="B20" s="88" t="s">
        <v>391</v>
      </c>
      <c r="C20" s="101" t="s">
        <v>385</v>
      </c>
      <c r="D20" s="101" t="s">
        <v>385</v>
      </c>
      <c r="E20" s="120">
        <f t="shared" si="28"/>
        <v>0</v>
      </c>
      <c r="F20" s="120">
        <f t="shared" si="0"/>
        <v>0</v>
      </c>
      <c r="G20" s="120">
        <f t="shared" si="0"/>
        <v>0</v>
      </c>
      <c r="H20" s="120">
        <f t="shared" si="0"/>
        <v>0</v>
      </c>
      <c r="I20" s="120">
        <f t="shared" si="0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20">
        <f t="shared" si="29"/>
        <v>0</v>
      </c>
      <c r="AE20" s="120">
        <f t="shared" si="8"/>
        <v>0</v>
      </c>
      <c r="AF20" s="120">
        <f t="shared" si="9"/>
        <v>0</v>
      </c>
      <c r="AG20" s="120">
        <f t="shared" si="10"/>
        <v>0</v>
      </c>
      <c r="AH20" s="120">
        <f t="shared" si="30"/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120">
        <f t="shared" si="31"/>
        <v>0</v>
      </c>
      <c r="BD20" s="120">
        <f t="shared" si="32"/>
        <v>0</v>
      </c>
      <c r="BE20" s="120">
        <f t="shared" si="33"/>
        <v>0</v>
      </c>
      <c r="BF20" s="120">
        <f t="shared" si="34"/>
        <v>0</v>
      </c>
      <c r="BG20" s="120">
        <f t="shared" si="35"/>
        <v>0</v>
      </c>
      <c r="BH20" s="111"/>
    </row>
    <row r="21" spans="1:60" ht="30">
      <c r="A21" s="87" t="s">
        <v>392</v>
      </c>
      <c r="B21" s="86" t="s">
        <v>393</v>
      </c>
      <c r="C21" s="101" t="s">
        <v>385</v>
      </c>
      <c r="D21" s="101" t="s">
        <v>385</v>
      </c>
      <c r="E21" s="120">
        <f t="shared" si="28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5">
        <f t="shared" ref="J21:M21" si="44">J39</f>
        <v>0</v>
      </c>
      <c r="K21" s="5">
        <f t="shared" si="44"/>
        <v>0</v>
      </c>
      <c r="L21" s="5">
        <f t="shared" si="44"/>
        <v>0</v>
      </c>
      <c r="M21" s="5">
        <f t="shared" si="44"/>
        <v>0</v>
      </c>
      <c r="N21" s="5">
        <f>N39</f>
        <v>0</v>
      </c>
      <c r="O21" s="5">
        <f t="shared" ref="O21:R21" si="45">O39</f>
        <v>0</v>
      </c>
      <c r="P21" s="5">
        <f t="shared" si="45"/>
        <v>0</v>
      </c>
      <c r="Q21" s="5">
        <f t="shared" si="45"/>
        <v>0</v>
      </c>
      <c r="R21" s="5">
        <f t="shared" si="45"/>
        <v>0</v>
      </c>
      <c r="S21" s="5">
        <f>S39</f>
        <v>0</v>
      </c>
      <c r="T21" s="5">
        <f t="shared" ref="T21:W21" si="46">T39</f>
        <v>0</v>
      </c>
      <c r="U21" s="5">
        <f t="shared" si="46"/>
        <v>0</v>
      </c>
      <c r="V21" s="5">
        <f t="shared" si="46"/>
        <v>0</v>
      </c>
      <c r="W21" s="5">
        <f t="shared" si="46"/>
        <v>0</v>
      </c>
      <c r="X21" s="5">
        <f>X39</f>
        <v>0</v>
      </c>
      <c r="Y21" s="5">
        <f t="shared" ref="Y21:AB21" si="47">Y39</f>
        <v>0</v>
      </c>
      <c r="Z21" s="5">
        <f t="shared" si="47"/>
        <v>0</v>
      </c>
      <c r="AA21" s="5">
        <f t="shared" si="47"/>
        <v>0</v>
      </c>
      <c r="AB21" s="5">
        <f t="shared" si="47"/>
        <v>0</v>
      </c>
      <c r="AC21" s="5">
        <f>AC39</f>
        <v>0</v>
      </c>
      <c r="AD21" s="120">
        <f t="shared" si="29"/>
        <v>0</v>
      </c>
      <c r="AE21" s="120">
        <f t="shared" si="8"/>
        <v>0</v>
      </c>
      <c r="AF21" s="120">
        <f t="shared" si="9"/>
        <v>0</v>
      </c>
      <c r="AG21" s="120">
        <f t="shared" si="10"/>
        <v>0</v>
      </c>
      <c r="AH21" s="120">
        <f t="shared" si="30"/>
        <v>0</v>
      </c>
      <c r="AI21" s="5">
        <f t="shared" ref="AI21:AL21" si="48">AI39</f>
        <v>0</v>
      </c>
      <c r="AJ21" s="5">
        <f t="shared" si="48"/>
        <v>0</v>
      </c>
      <c r="AK21" s="5">
        <f t="shared" si="48"/>
        <v>0</v>
      </c>
      <c r="AL21" s="5">
        <f t="shared" si="48"/>
        <v>0</v>
      </c>
      <c r="AM21" s="5">
        <f>AM39</f>
        <v>0</v>
      </c>
      <c r="AN21" s="5">
        <f t="shared" ref="AN21:AQ21" si="49">AN39</f>
        <v>0</v>
      </c>
      <c r="AO21" s="5">
        <f t="shared" si="49"/>
        <v>0</v>
      </c>
      <c r="AP21" s="5">
        <f t="shared" si="49"/>
        <v>0</v>
      </c>
      <c r="AQ21" s="5">
        <f t="shared" si="49"/>
        <v>0</v>
      </c>
      <c r="AR21" s="5">
        <f>AR39</f>
        <v>0</v>
      </c>
      <c r="AS21" s="5">
        <f t="shared" ref="AS21:AV21" si="50">AS39</f>
        <v>0</v>
      </c>
      <c r="AT21" s="5">
        <f t="shared" si="50"/>
        <v>0</v>
      </c>
      <c r="AU21" s="5">
        <f t="shared" si="50"/>
        <v>0</v>
      </c>
      <c r="AV21" s="5">
        <f t="shared" si="50"/>
        <v>0</v>
      </c>
      <c r="AW21" s="5">
        <f>AW39</f>
        <v>0</v>
      </c>
      <c r="AX21" s="5">
        <f t="shared" ref="AX21:BA21" si="51">AX39</f>
        <v>0</v>
      </c>
      <c r="AY21" s="5">
        <f t="shared" si="51"/>
        <v>0</v>
      </c>
      <c r="AZ21" s="5">
        <f t="shared" si="51"/>
        <v>0</v>
      </c>
      <c r="BA21" s="5">
        <f t="shared" si="51"/>
        <v>0</v>
      </c>
      <c r="BB21" s="5">
        <f>BB39</f>
        <v>0</v>
      </c>
      <c r="BC21" s="120">
        <f t="shared" si="31"/>
        <v>0</v>
      </c>
      <c r="BD21" s="120">
        <f t="shared" si="32"/>
        <v>0</v>
      </c>
      <c r="BE21" s="120">
        <f t="shared" si="33"/>
        <v>0</v>
      </c>
      <c r="BF21" s="120">
        <f t="shared" si="34"/>
        <v>0</v>
      </c>
      <c r="BG21" s="120">
        <f t="shared" si="35"/>
        <v>0</v>
      </c>
      <c r="BH21" s="111"/>
    </row>
    <row r="22" spans="1:60" ht="30">
      <c r="A22" s="87" t="s">
        <v>394</v>
      </c>
      <c r="B22" s="86" t="s">
        <v>395</v>
      </c>
      <c r="C22" s="101" t="s">
        <v>385</v>
      </c>
      <c r="D22" s="101" t="s">
        <v>385</v>
      </c>
      <c r="E22" s="120">
        <f t="shared" si="28"/>
        <v>0</v>
      </c>
      <c r="F22" s="120">
        <f t="shared" si="0"/>
        <v>0</v>
      </c>
      <c r="G22" s="120">
        <f t="shared" si="0"/>
        <v>0</v>
      </c>
      <c r="H22" s="120">
        <f t="shared" si="0"/>
        <v>0</v>
      </c>
      <c r="I22" s="120">
        <f t="shared" si="0"/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120">
        <f t="shared" si="29"/>
        <v>0</v>
      </c>
      <c r="AE22" s="120">
        <f t="shared" si="8"/>
        <v>0</v>
      </c>
      <c r="AF22" s="120">
        <f t="shared" si="9"/>
        <v>0</v>
      </c>
      <c r="AG22" s="120">
        <f t="shared" si="10"/>
        <v>0</v>
      </c>
      <c r="AH22" s="120">
        <f t="shared" si="30"/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120">
        <f t="shared" si="31"/>
        <v>0</v>
      </c>
      <c r="BD22" s="120">
        <f t="shared" si="32"/>
        <v>0</v>
      </c>
      <c r="BE22" s="120">
        <f t="shared" si="33"/>
        <v>0</v>
      </c>
      <c r="BF22" s="120">
        <f t="shared" si="34"/>
        <v>0</v>
      </c>
      <c r="BG22" s="120">
        <f t="shared" si="35"/>
        <v>0</v>
      </c>
      <c r="BH22" s="111"/>
    </row>
    <row r="23" spans="1:60" ht="15.75">
      <c r="A23" s="87" t="s">
        <v>396</v>
      </c>
      <c r="B23" s="86" t="s">
        <v>397</v>
      </c>
      <c r="C23" s="101" t="s">
        <v>385</v>
      </c>
      <c r="D23" s="101" t="s">
        <v>385</v>
      </c>
      <c r="E23" s="120">
        <f t="shared" si="28"/>
        <v>0</v>
      </c>
      <c r="F23" s="120">
        <f t="shared" si="0"/>
        <v>0</v>
      </c>
      <c r="G23" s="120">
        <f t="shared" si="0"/>
        <v>0</v>
      </c>
      <c r="H23" s="120">
        <f t="shared" si="0"/>
        <v>0</v>
      </c>
      <c r="I23" s="120">
        <f t="shared" si="0"/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120">
        <f t="shared" si="29"/>
        <v>0</v>
      </c>
      <c r="AE23" s="120">
        <f t="shared" si="8"/>
        <v>0</v>
      </c>
      <c r="AF23" s="120">
        <f t="shared" si="9"/>
        <v>0</v>
      </c>
      <c r="AG23" s="120">
        <f t="shared" si="10"/>
        <v>0</v>
      </c>
      <c r="AH23" s="120">
        <f t="shared" si="30"/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120">
        <f t="shared" si="31"/>
        <v>0</v>
      </c>
      <c r="BD23" s="120">
        <f t="shared" si="32"/>
        <v>0</v>
      </c>
      <c r="BE23" s="120">
        <f t="shared" si="33"/>
        <v>0</v>
      </c>
      <c r="BF23" s="120">
        <f t="shared" si="34"/>
        <v>0</v>
      </c>
      <c r="BG23" s="120">
        <f t="shared" si="35"/>
        <v>0</v>
      </c>
      <c r="BH23" s="111"/>
    </row>
    <row r="24" spans="1:60" ht="15.75">
      <c r="A24" s="89" t="s">
        <v>398</v>
      </c>
      <c r="B24" s="90" t="s">
        <v>399</v>
      </c>
      <c r="C24" s="101" t="s">
        <v>385</v>
      </c>
      <c r="D24" s="101" t="s">
        <v>385</v>
      </c>
      <c r="E24" s="120">
        <f t="shared" si="28"/>
        <v>0</v>
      </c>
      <c r="F24" s="120">
        <f t="shared" si="0"/>
        <v>0</v>
      </c>
      <c r="G24" s="120">
        <f t="shared" si="0"/>
        <v>0</v>
      </c>
      <c r="H24" s="120">
        <f t="shared" si="0"/>
        <v>0</v>
      </c>
      <c r="I24" s="120">
        <f t="shared" si="0"/>
        <v>0</v>
      </c>
      <c r="J24" s="5">
        <f t="shared" ref="J24:M24" si="52">J25+J39</f>
        <v>0</v>
      </c>
      <c r="K24" s="5">
        <f t="shared" si="52"/>
        <v>0</v>
      </c>
      <c r="L24" s="5">
        <f t="shared" si="52"/>
        <v>0</v>
      </c>
      <c r="M24" s="5">
        <f t="shared" si="52"/>
        <v>0</v>
      </c>
      <c r="N24" s="5">
        <f>N25+N39</f>
        <v>0</v>
      </c>
      <c r="O24" s="5">
        <f t="shared" ref="O24:R24" si="53">O25+O39</f>
        <v>0</v>
      </c>
      <c r="P24" s="5">
        <f t="shared" si="53"/>
        <v>0</v>
      </c>
      <c r="Q24" s="5">
        <f t="shared" si="53"/>
        <v>0</v>
      </c>
      <c r="R24" s="5">
        <f t="shared" si="53"/>
        <v>0</v>
      </c>
      <c r="S24" s="5">
        <f>S25+S39</f>
        <v>0</v>
      </c>
      <c r="T24" s="5">
        <f t="shared" ref="T24:W24" si="54">T25+T39</f>
        <v>0</v>
      </c>
      <c r="U24" s="5">
        <f t="shared" si="54"/>
        <v>0</v>
      </c>
      <c r="V24" s="5">
        <f t="shared" si="54"/>
        <v>0</v>
      </c>
      <c r="W24" s="5">
        <f t="shared" si="54"/>
        <v>0</v>
      </c>
      <c r="X24" s="5">
        <f>X25+X39</f>
        <v>0</v>
      </c>
      <c r="Y24" s="5">
        <f t="shared" ref="Y24" si="55">Y25+Y39</f>
        <v>0</v>
      </c>
      <c r="Z24" s="5">
        <f t="shared" ref="Z24" si="56">Z25+Z39</f>
        <v>0</v>
      </c>
      <c r="AA24" s="5">
        <f t="shared" ref="AA24" si="57">AA25+AA39</f>
        <v>0</v>
      </c>
      <c r="AB24" s="5">
        <f t="shared" ref="AB24" si="58">AB25+AB39</f>
        <v>0</v>
      </c>
      <c r="AC24" s="5">
        <f>AC25+AC39</f>
        <v>0</v>
      </c>
      <c r="AD24" s="120">
        <f t="shared" si="29"/>
        <v>0</v>
      </c>
      <c r="AE24" s="120">
        <f t="shared" si="8"/>
        <v>0</v>
      </c>
      <c r="AF24" s="120">
        <f t="shared" si="9"/>
        <v>0</v>
      </c>
      <c r="AG24" s="120">
        <f t="shared" si="10"/>
        <v>0</v>
      </c>
      <c r="AH24" s="120">
        <f t="shared" si="30"/>
        <v>0</v>
      </c>
      <c r="AI24" s="5">
        <f t="shared" ref="AI24" si="59">AI25+AI39</f>
        <v>0</v>
      </c>
      <c r="AJ24" s="5">
        <f t="shared" ref="AJ24" si="60">AJ25+AJ39</f>
        <v>0</v>
      </c>
      <c r="AK24" s="5">
        <f t="shared" ref="AK24" si="61">AK25+AK39</f>
        <v>0</v>
      </c>
      <c r="AL24" s="5">
        <f t="shared" ref="AL24" si="62">AL25+AL39</f>
        <v>0</v>
      </c>
      <c r="AM24" s="5">
        <f>AM25+AM39</f>
        <v>0</v>
      </c>
      <c r="AN24" s="5">
        <f t="shared" ref="AN24" si="63">AN25+AN39</f>
        <v>0</v>
      </c>
      <c r="AO24" s="5">
        <f t="shared" ref="AO24" si="64">AO25+AO39</f>
        <v>0</v>
      </c>
      <c r="AP24" s="5">
        <f t="shared" ref="AP24" si="65">AP25+AP39</f>
        <v>0</v>
      </c>
      <c r="AQ24" s="5">
        <f t="shared" ref="AQ24" si="66">AQ25+AQ39</f>
        <v>0</v>
      </c>
      <c r="AR24" s="5">
        <f>AR25+AR39</f>
        <v>0</v>
      </c>
      <c r="AS24" s="5">
        <f t="shared" ref="AS24" si="67">AS25+AS39</f>
        <v>0</v>
      </c>
      <c r="AT24" s="5">
        <f t="shared" ref="AT24" si="68">AT25+AT39</f>
        <v>0</v>
      </c>
      <c r="AU24" s="5">
        <f t="shared" ref="AU24" si="69">AU25+AU39</f>
        <v>0</v>
      </c>
      <c r="AV24" s="5">
        <f t="shared" ref="AV24" si="70">AV25+AV39</f>
        <v>0</v>
      </c>
      <c r="AW24" s="5">
        <f>AW25+AW39</f>
        <v>0</v>
      </c>
      <c r="AX24" s="5">
        <f t="shared" ref="AX24" si="71">AX25+AX39</f>
        <v>0</v>
      </c>
      <c r="AY24" s="5">
        <f t="shared" ref="AY24" si="72">AY25+AY39</f>
        <v>0</v>
      </c>
      <c r="AZ24" s="5">
        <f t="shared" ref="AZ24" si="73">AZ25+AZ39</f>
        <v>0</v>
      </c>
      <c r="BA24" s="5">
        <f t="shared" ref="BA24" si="74">BA25+BA39</f>
        <v>0</v>
      </c>
      <c r="BB24" s="5">
        <f>BB25+BB39</f>
        <v>0</v>
      </c>
      <c r="BC24" s="120">
        <f t="shared" si="31"/>
        <v>0</v>
      </c>
      <c r="BD24" s="120">
        <f t="shared" si="32"/>
        <v>0</v>
      </c>
      <c r="BE24" s="120">
        <f t="shared" si="33"/>
        <v>0</v>
      </c>
      <c r="BF24" s="120">
        <f t="shared" si="34"/>
        <v>0</v>
      </c>
      <c r="BG24" s="120">
        <f t="shared" si="35"/>
        <v>0</v>
      </c>
      <c r="BH24" s="111"/>
    </row>
    <row r="25" spans="1:60" ht="28.5">
      <c r="A25" s="89" t="s">
        <v>400</v>
      </c>
      <c r="B25" s="90" t="s">
        <v>401</v>
      </c>
      <c r="C25" s="101" t="s">
        <v>385</v>
      </c>
      <c r="D25" s="101" t="s">
        <v>385</v>
      </c>
      <c r="E25" s="120">
        <f t="shared" si="28"/>
        <v>0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5">
        <f t="shared" ref="J25:M25" si="75">J26+J28+J35</f>
        <v>0</v>
      </c>
      <c r="K25" s="5">
        <f t="shared" si="75"/>
        <v>0</v>
      </c>
      <c r="L25" s="5">
        <f t="shared" si="75"/>
        <v>0</v>
      </c>
      <c r="M25" s="5">
        <f t="shared" si="75"/>
        <v>0</v>
      </c>
      <c r="N25" s="5">
        <f>N26+N28+N35</f>
        <v>0</v>
      </c>
      <c r="O25" s="5">
        <f t="shared" ref="O25:R25" si="76">O26+O28+O35</f>
        <v>0</v>
      </c>
      <c r="P25" s="5">
        <f t="shared" si="76"/>
        <v>0</v>
      </c>
      <c r="Q25" s="5">
        <f t="shared" si="76"/>
        <v>0</v>
      </c>
      <c r="R25" s="5">
        <f t="shared" si="76"/>
        <v>0</v>
      </c>
      <c r="S25" s="5">
        <f>S26+S28+S35</f>
        <v>0</v>
      </c>
      <c r="T25" s="5">
        <f t="shared" ref="T25:W25" si="77">T26+T28+T35</f>
        <v>0</v>
      </c>
      <c r="U25" s="5">
        <f t="shared" si="77"/>
        <v>0</v>
      </c>
      <c r="V25" s="5">
        <f t="shared" si="77"/>
        <v>0</v>
      </c>
      <c r="W25" s="5">
        <f t="shared" si="77"/>
        <v>0</v>
      </c>
      <c r="X25" s="5">
        <f>X26+X28+X35</f>
        <v>0</v>
      </c>
      <c r="Y25" s="5">
        <f t="shared" ref="Y25" si="78">Y26+Y28+Y35</f>
        <v>0</v>
      </c>
      <c r="Z25" s="5">
        <f t="shared" ref="Z25" si="79">Z26+Z28+Z35</f>
        <v>0</v>
      </c>
      <c r="AA25" s="5">
        <f t="shared" ref="AA25" si="80">AA26+AA28+AA35</f>
        <v>0</v>
      </c>
      <c r="AB25" s="5">
        <f t="shared" ref="AB25" si="81">AB26+AB28+AB35</f>
        <v>0</v>
      </c>
      <c r="AC25" s="5">
        <f>AC26+AC28+AC35</f>
        <v>0</v>
      </c>
      <c r="AD25" s="120">
        <f t="shared" si="29"/>
        <v>0</v>
      </c>
      <c r="AE25" s="120">
        <f t="shared" si="8"/>
        <v>0</v>
      </c>
      <c r="AF25" s="120">
        <f t="shared" si="9"/>
        <v>0</v>
      </c>
      <c r="AG25" s="120">
        <f t="shared" si="10"/>
        <v>0</v>
      </c>
      <c r="AH25" s="120">
        <f t="shared" si="30"/>
        <v>0</v>
      </c>
      <c r="AI25" s="5">
        <f t="shared" ref="AI25" si="82">AI26+AI28+AI35</f>
        <v>0</v>
      </c>
      <c r="AJ25" s="5">
        <f t="shared" ref="AJ25" si="83">AJ26+AJ28+AJ35</f>
        <v>0</v>
      </c>
      <c r="AK25" s="5">
        <f t="shared" ref="AK25" si="84">AK26+AK28+AK35</f>
        <v>0</v>
      </c>
      <c r="AL25" s="5">
        <f t="shared" ref="AL25" si="85">AL26+AL28+AL35</f>
        <v>0</v>
      </c>
      <c r="AM25" s="5">
        <f>AM26+AM28+AM35</f>
        <v>0</v>
      </c>
      <c r="AN25" s="5">
        <f t="shared" ref="AN25" si="86">AN26+AN28+AN35</f>
        <v>0</v>
      </c>
      <c r="AO25" s="5">
        <f t="shared" ref="AO25" si="87">AO26+AO28+AO35</f>
        <v>0</v>
      </c>
      <c r="AP25" s="5">
        <f t="shared" ref="AP25" si="88">AP26+AP28+AP35</f>
        <v>0</v>
      </c>
      <c r="AQ25" s="5">
        <f t="shared" ref="AQ25" si="89">AQ26+AQ28+AQ35</f>
        <v>0</v>
      </c>
      <c r="AR25" s="5">
        <f>AR26+AR28+AR35</f>
        <v>0</v>
      </c>
      <c r="AS25" s="5">
        <f t="shared" ref="AS25" si="90">AS26+AS28+AS35</f>
        <v>0</v>
      </c>
      <c r="AT25" s="5">
        <f t="shared" ref="AT25" si="91">AT26+AT28+AT35</f>
        <v>0</v>
      </c>
      <c r="AU25" s="5">
        <f t="shared" ref="AU25" si="92">AU26+AU28+AU35</f>
        <v>0</v>
      </c>
      <c r="AV25" s="5">
        <f t="shared" ref="AV25" si="93">AV26+AV28+AV35</f>
        <v>0</v>
      </c>
      <c r="AW25" s="5">
        <f>AW26+AW28+AW35</f>
        <v>0</v>
      </c>
      <c r="AX25" s="5">
        <f t="shared" ref="AX25" si="94">AX26+AX28+AX35</f>
        <v>0</v>
      </c>
      <c r="AY25" s="5">
        <f t="shared" ref="AY25" si="95">AY26+AY28+AY35</f>
        <v>0</v>
      </c>
      <c r="AZ25" s="5">
        <f t="shared" ref="AZ25" si="96">AZ26+AZ28+AZ35</f>
        <v>0</v>
      </c>
      <c r="BA25" s="5">
        <f t="shared" ref="BA25" si="97">BA26+BA28+BA35</f>
        <v>0</v>
      </c>
      <c r="BB25" s="5">
        <f>BB26+BB28+BB35</f>
        <v>0</v>
      </c>
      <c r="BC25" s="120">
        <f t="shared" si="31"/>
        <v>0</v>
      </c>
      <c r="BD25" s="120">
        <f t="shared" si="32"/>
        <v>0</v>
      </c>
      <c r="BE25" s="120">
        <f t="shared" si="33"/>
        <v>0</v>
      </c>
      <c r="BF25" s="120">
        <f t="shared" si="34"/>
        <v>0</v>
      </c>
      <c r="BG25" s="120">
        <f t="shared" si="35"/>
        <v>0</v>
      </c>
      <c r="BH25" s="111"/>
    </row>
    <row r="26" spans="1:60" ht="60">
      <c r="A26" s="89" t="s">
        <v>402</v>
      </c>
      <c r="B26" s="86" t="s">
        <v>403</v>
      </c>
      <c r="C26" s="101" t="s">
        <v>385</v>
      </c>
      <c r="D26" s="101" t="s">
        <v>385</v>
      </c>
      <c r="E26" s="120">
        <f t="shared" si="28"/>
        <v>0</v>
      </c>
      <c r="F26" s="120">
        <f t="shared" si="0"/>
        <v>0</v>
      </c>
      <c r="G26" s="120">
        <f t="shared" si="0"/>
        <v>0</v>
      </c>
      <c r="H26" s="120">
        <f t="shared" si="0"/>
        <v>0</v>
      </c>
      <c r="I26" s="120">
        <f t="shared" si="0"/>
        <v>0</v>
      </c>
      <c r="J26" s="5">
        <f t="shared" ref="J26:M26" si="98">J27</f>
        <v>0</v>
      </c>
      <c r="K26" s="5">
        <f t="shared" si="98"/>
        <v>0</v>
      </c>
      <c r="L26" s="5">
        <f t="shared" si="98"/>
        <v>0</v>
      </c>
      <c r="M26" s="5">
        <f t="shared" si="98"/>
        <v>0</v>
      </c>
      <c r="N26" s="5">
        <f>N27</f>
        <v>0</v>
      </c>
      <c r="O26" s="5">
        <f t="shared" ref="O26:R26" si="99">O27</f>
        <v>0</v>
      </c>
      <c r="P26" s="5">
        <f t="shared" si="99"/>
        <v>0</v>
      </c>
      <c r="Q26" s="5">
        <f t="shared" si="99"/>
        <v>0</v>
      </c>
      <c r="R26" s="5">
        <f t="shared" si="99"/>
        <v>0</v>
      </c>
      <c r="S26" s="5">
        <f>S27</f>
        <v>0</v>
      </c>
      <c r="T26" s="5">
        <f t="shared" ref="T26:W26" si="100">T27</f>
        <v>0</v>
      </c>
      <c r="U26" s="5">
        <f t="shared" si="100"/>
        <v>0</v>
      </c>
      <c r="V26" s="5">
        <f t="shared" si="100"/>
        <v>0</v>
      </c>
      <c r="W26" s="5">
        <f t="shared" si="100"/>
        <v>0</v>
      </c>
      <c r="X26" s="5">
        <f>X27</f>
        <v>0</v>
      </c>
      <c r="Y26" s="5">
        <f t="shared" ref="Y26" si="101">Y27</f>
        <v>0</v>
      </c>
      <c r="Z26" s="5">
        <f t="shared" ref="Z26" si="102">Z27</f>
        <v>0</v>
      </c>
      <c r="AA26" s="5">
        <f t="shared" ref="AA26" si="103">AA27</f>
        <v>0</v>
      </c>
      <c r="AB26" s="5">
        <f t="shared" ref="AB26" si="104">AB27</f>
        <v>0</v>
      </c>
      <c r="AC26" s="5">
        <f>AC27</f>
        <v>0</v>
      </c>
      <c r="AD26" s="120">
        <f t="shared" si="29"/>
        <v>0</v>
      </c>
      <c r="AE26" s="120">
        <f t="shared" si="8"/>
        <v>0</v>
      </c>
      <c r="AF26" s="120">
        <f t="shared" si="9"/>
        <v>0</v>
      </c>
      <c r="AG26" s="120">
        <f t="shared" si="10"/>
        <v>0</v>
      </c>
      <c r="AH26" s="120">
        <f t="shared" si="30"/>
        <v>0</v>
      </c>
      <c r="AI26" s="5">
        <f t="shared" ref="AI26" si="105">AI27</f>
        <v>0</v>
      </c>
      <c r="AJ26" s="5">
        <f t="shared" ref="AJ26" si="106">AJ27</f>
        <v>0</v>
      </c>
      <c r="AK26" s="5">
        <f t="shared" ref="AK26" si="107">AK27</f>
        <v>0</v>
      </c>
      <c r="AL26" s="5">
        <f t="shared" ref="AL26" si="108">AL27</f>
        <v>0</v>
      </c>
      <c r="AM26" s="5">
        <f>AM27</f>
        <v>0</v>
      </c>
      <c r="AN26" s="5">
        <f t="shared" ref="AN26" si="109">AN27</f>
        <v>0</v>
      </c>
      <c r="AO26" s="5">
        <f t="shared" ref="AO26" si="110">AO27</f>
        <v>0</v>
      </c>
      <c r="AP26" s="5">
        <f t="shared" ref="AP26" si="111">AP27</f>
        <v>0</v>
      </c>
      <c r="AQ26" s="5">
        <f t="shared" ref="AQ26" si="112">AQ27</f>
        <v>0</v>
      </c>
      <c r="AR26" s="5">
        <f>AR27</f>
        <v>0</v>
      </c>
      <c r="AS26" s="5">
        <f t="shared" ref="AS26" si="113">AS27</f>
        <v>0</v>
      </c>
      <c r="AT26" s="5">
        <f t="shared" ref="AT26" si="114">AT27</f>
        <v>0</v>
      </c>
      <c r="AU26" s="5">
        <f t="shared" ref="AU26" si="115">AU27</f>
        <v>0</v>
      </c>
      <c r="AV26" s="5">
        <f t="shared" ref="AV26" si="116">AV27</f>
        <v>0</v>
      </c>
      <c r="AW26" s="5">
        <f>AW27</f>
        <v>0</v>
      </c>
      <c r="AX26" s="5">
        <f t="shared" ref="AX26" si="117">AX27</f>
        <v>0</v>
      </c>
      <c r="AY26" s="5">
        <f t="shared" ref="AY26" si="118">AY27</f>
        <v>0</v>
      </c>
      <c r="AZ26" s="5">
        <f t="shared" ref="AZ26" si="119">AZ27</f>
        <v>0</v>
      </c>
      <c r="BA26" s="5">
        <f t="shared" ref="BA26" si="120">BA27</f>
        <v>0</v>
      </c>
      <c r="BB26" s="5">
        <f>BB27</f>
        <v>0</v>
      </c>
      <c r="BC26" s="120">
        <f t="shared" si="31"/>
        <v>0</v>
      </c>
      <c r="BD26" s="120">
        <f t="shared" si="32"/>
        <v>0</v>
      </c>
      <c r="BE26" s="120">
        <f t="shared" si="33"/>
        <v>0</v>
      </c>
      <c r="BF26" s="120">
        <f t="shared" si="34"/>
        <v>0</v>
      </c>
      <c r="BG26" s="120">
        <f t="shared" si="35"/>
        <v>0</v>
      </c>
      <c r="BH26" s="111"/>
    </row>
    <row r="27" spans="1:60" ht="30">
      <c r="A27" s="87" t="s">
        <v>404</v>
      </c>
      <c r="B27" s="86" t="s">
        <v>405</v>
      </c>
      <c r="C27" s="101" t="s">
        <v>385</v>
      </c>
      <c r="D27" s="101" t="s">
        <v>385</v>
      </c>
      <c r="E27" s="120">
        <f t="shared" si="28"/>
        <v>0</v>
      </c>
      <c r="F27" s="120">
        <f t="shared" si="0"/>
        <v>0</v>
      </c>
      <c r="G27" s="120">
        <f t="shared" si="0"/>
        <v>0</v>
      </c>
      <c r="H27" s="120">
        <f t="shared" si="0"/>
        <v>0</v>
      </c>
      <c r="I27" s="120">
        <f t="shared" si="0"/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20">
        <f t="shared" si="29"/>
        <v>0</v>
      </c>
      <c r="AE27" s="120">
        <f t="shared" si="8"/>
        <v>0</v>
      </c>
      <c r="AF27" s="120">
        <f t="shared" si="9"/>
        <v>0</v>
      </c>
      <c r="AG27" s="120">
        <f t="shared" si="10"/>
        <v>0</v>
      </c>
      <c r="AH27" s="120">
        <f t="shared" si="30"/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120">
        <f t="shared" si="31"/>
        <v>0</v>
      </c>
      <c r="BD27" s="120">
        <f t="shared" si="32"/>
        <v>0</v>
      </c>
      <c r="BE27" s="120">
        <f t="shared" si="33"/>
        <v>0</v>
      </c>
      <c r="BF27" s="120">
        <f t="shared" si="34"/>
        <v>0</v>
      </c>
      <c r="BG27" s="120">
        <f t="shared" si="35"/>
        <v>0</v>
      </c>
      <c r="BH27" s="111"/>
    </row>
    <row r="28" spans="1:60" ht="45">
      <c r="A28" s="89" t="s">
        <v>406</v>
      </c>
      <c r="B28" s="86" t="s">
        <v>407</v>
      </c>
      <c r="C28" s="101" t="s">
        <v>385</v>
      </c>
      <c r="D28" s="101" t="s">
        <v>385</v>
      </c>
      <c r="E28" s="120">
        <f t="shared" si="28"/>
        <v>0</v>
      </c>
      <c r="F28" s="120">
        <f t="shared" si="0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5">
        <f t="shared" ref="J28:M28" si="121">J29+J33</f>
        <v>0</v>
      </c>
      <c r="K28" s="5">
        <f t="shared" si="121"/>
        <v>0</v>
      </c>
      <c r="L28" s="5">
        <f t="shared" si="121"/>
        <v>0</v>
      </c>
      <c r="M28" s="5">
        <f t="shared" si="121"/>
        <v>0</v>
      </c>
      <c r="N28" s="5">
        <f>N29+N33</f>
        <v>0</v>
      </c>
      <c r="O28" s="5">
        <f t="shared" ref="O28:R28" si="122">O29+O33</f>
        <v>0</v>
      </c>
      <c r="P28" s="5">
        <f t="shared" si="122"/>
        <v>0</v>
      </c>
      <c r="Q28" s="5">
        <f t="shared" si="122"/>
        <v>0</v>
      </c>
      <c r="R28" s="5">
        <f t="shared" si="122"/>
        <v>0</v>
      </c>
      <c r="S28" s="5">
        <f>S29+S33</f>
        <v>0</v>
      </c>
      <c r="T28" s="5">
        <f t="shared" ref="T28:W28" si="123">T29+T33</f>
        <v>0</v>
      </c>
      <c r="U28" s="5">
        <f t="shared" si="123"/>
        <v>0</v>
      </c>
      <c r="V28" s="5">
        <f t="shared" si="123"/>
        <v>0</v>
      </c>
      <c r="W28" s="5">
        <f t="shared" si="123"/>
        <v>0</v>
      </c>
      <c r="X28" s="5">
        <f>X29+X33</f>
        <v>0</v>
      </c>
      <c r="Y28" s="5">
        <f t="shared" ref="Y28" si="124">Y29+Y33</f>
        <v>0</v>
      </c>
      <c r="Z28" s="5">
        <f t="shared" ref="Z28" si="125">Z29+Z33</f>
        <v>0</v>
      </c>
      <c r="AA28" s="5">
        <f t="shared" ref="AA28" si="126">AA29+AA33</f>
        <v>0</v>
      </c>
      <c r="AB28" s="5">
        <f t="shared" ref="AB28" si="127">AB29+AB33</f>
        <v>0</v>
      </c>
      <c r="AC28" s="5">
        <f>AC29+AC33</f>
        <v>0</v>
      </c>
      <c r="AD28" s="120">
        <f t="shared" si="29"/>
        <v>0</v>
      </c>
      <c r="AE28" s="120">
        <f t="shared" si="8"/>
        <v>0</v>
      </c>
      <c r="AF28" s="120">
        <f t="shared" si="9"/>
        <v>0</v>
      </c>
      <c r="AG28" s="120">
        <f t="shared" si="10"/>
        <v>0</v>
      </c>
      <c r="AH28" s="120">
        <f t="shared" si="30"/>
        <v>0</v>
      </c>
      <c r="AI28" s="5">
        <f t="shared" ref="AI28" si="128">AI29+AI33</f>
        <v>0</v>
      </c>
      <c r="AJ28" s="5">
        <f t="shared" ref="AJ28" si="129">AJ29+AJ33</f>
        <v>0</v>
      </c>
      <c r="AK28" s="5">
        <f t="shared" ref="AK28" si="130">AK29+AK33</f>
        <v>0</v>
      </c>
      <c r="AL28" s="5">
        <f t="shared" ref="AL28" si="131">AL29+AL33</f>
        <v>0</v>
      </c>
      <c r="AM28" s="5">
        <f>AM29+AM33</f>
        <v>0</v>
      </c>
      <c r="AN28" s="5">
        <f t="shared" ref="AN28" si="132">AN29+AN33</f>
        <v>0</v>
      </c>
      <c r="AO28" s="5">
        <f t="shared" ref="AO28" si="133">AO29+AO33</f>
        <v>0</v>
      </c>
      <c r="AP28" s="5">
        <f t="shared" ref="AP28" si="134">AP29+AP33</f>
        <v>0</v>
      </c>
      <c r="AQ28" s="5">
        <f t="shared" ref="AQ28" si="135">AQ29+AQ33</f>
        <v>0</v>
      </c>
      <c r="AR28" s="5">
        <f>AR29+AR33</f>
        <v>0</v>
      </c>
      <c r="AS28" s="5">
        <f t="shared" ref="AS28" si="136">AS29+AS33</f>
        <v>0</v>
      </c>
      <c r="AT28" s="5">
        <f t="shared" ref="AT28" si="137">AT29+AT33</f>
        <v>0</v>
      </c>
      <c r="AU28" s="5">
        <f t="shared" ref="AU28" si="138">AU29+AU33</f>
        <v>0</v>
      </c>
      <c r="AV28" s="5">
        <f t="shared" ref="AV28" si="139">AV29+AV33</f>
        <v>0</v>
      </c>
      <c r="AW28" s="5">
        <f>AW29+AW33</f>
        <v>0</v>
      </c>
      <c r="AX28" s="5">
        <f t="shared" ref="AX28" si="140">AX29+AX33</f>
        <v>0</v>
      </c>
      <c r="AY28" s="5">
        <f t="shared" ref="AY28" si="141">AY29+AY33</f>
        <v>0</v>
      </c>
      <c r="AZ28" s="5">
        <f t="shared" ref="AZ28" si="142">AZ29+AZ33</f>
        <v>0</v>
      </c>
      <c r="BA28" s="5">
        <f t="shared" ref="BA28" si="143">BA29+BA33</f>
        <v>0</v>
      </c>
      <c r="BB28" s="5">
        <f>BB29+BB33</f>
        <v>0</v>
      </c>
      <c r="BC28" s="120">
        <f t="shared" si="31"/>
        <v>0</v>
      </c>
      <c r="BD28" s="120">
        <f t="shared" si="32"/>
        <v>0</v>
      </c>
      <c r="BE28" s="120">
        <f t="shared" si="33"/>
        <v>0</v>
      </c>
      <c r="BF28" s="120">
        <f t="shared" si="34"/>
        <v>0</v>
      </c>
      <c r="BG28" s="120">
        <f t="shared" si="35"/>
        <v>0</v>
      </c>
      <c r="BH28" s="111"/>
    </row>
    <row r="29" spans="1:60" ht="30">
      <c r="A29" s="87" t="s">
        <v>408</v>
      </c>
      <c r="B29" s="86" t="s">
        <v>409</v>
      </c>
      <c r="C29" s="101" t="s">
        <v>385</v>
      </c>
      <c r="D29" s="101" t="s">
        <v>385</v>
      </c>
      <c r="E29" s="120">
        <f t="shared" si="28"/>
        <v>0</v>
      </c>
      <c r="F29" s="120">
        <f t="shared" si="0"/>
        <v>0</v>
      </c>
      <c r="G29" s="120">
        <f t="shared" si="0"/>
        <v>0</v>
      </c>
      <c r="H29" s="120">
        <f t="shared" si="0"/>
        <v>0</v>
      </c>
      <c r="I29" s="120">
        <f t="shared" si="0"/>
        <v>0</v>
      </c>
      <c r="J29" s="107">
        <f>J31+J32+J30</f>
        <v>0</v>
      </c>
      <c r="K29" s="107">
        <f t="shared" ref="K29:AC29" si="144">K31+K32+K30</f>
        <v>0</v>
      </c>
      <c r="L29" s="107">
        <f t="shared" si="144"/>
        <v>0</v>
      </c>
      <c r="M29" s="107">
        <f t="shared" si="144"/>
        <v>0</v>
      </c>
      <c r="N29" s="107">
        <f t="shared" si="144"/>
        <v>0</v>
      </c>
      <c r="O29" s="107">
        <f t="shared" si="144"/>
        <v>0</v>
      </c>
      <c r="P29" s="107">
        <f t="shared" si="144"/>
        <v>0</v>
      </c>
      <c r="Q29" s="107">
        <f t="shared" si="144"/>
        <v>0</v>
      </c>
      <c r="R29" s="107">
        <f t="shared" si="144"/>
        <v>0</v>
      </c>
      <c r="S29" s="107">
        <f t="shared" si="144"/>
        <v>0</v>
      </c>
      <c r="T29" s="107">
        <f t="shared" si="144"/>
        <v>0</v>
      </c>
      <c r="U29" s="107">
        <f t="shared" si="144"/>
        <v>0</v>
      </c>
      <c r="V29" s="107">
        <f t="shared" si="144"/>
        <v>0</v>
      </c>
      <c r="W29" s="107">
        <f t="shared" si="144"/>
        <v>0</v>
      </c>
      <c r="X29" s="107">
        <f t="shared" si="144"/>
        <v>0</v>
      </c>
      <c r="Y29" s="107">
        <f t="shared" si="144"/>
        <v>0</v>
      </c>
      <c r="Z29" s="107">
        <f t="shared" si="144"/>
        <v>0</v>
      </c>
      <c r="AA29" s="107">
        <f t="shared" si="144"/>
        <v>0</v>
      </c>
      <c r="AB29" s="107">
        <f t="shared" si="144"/>
        <v>0</v>
      </c>
      <c r="AC29" s="107">
        <f t="shared" si="144"/>
        <v>0</v>
      </c>
      <c r="AD29" s="120">
        <f t="shared" si="29"/>
        <v>0</v>
      </c>
      <c r="AE29" s="120">
        <f t="shared" si="8"/>
        <v>0</v>
      </c>
      <c r="AF29" s="120">
        <f t="shared" si="9"/>
        <v>0</v>
      </c>
      <c r="AG29" s="120">
        <f t="shared" si="10"/>
        <v>0</v>
      </c>
      <c r="AH29" s="120">
        <f t="shared" si="30"/>
        <v>0</v>
      </c>
      <c r="AI29" s="107">
        <f>AI31+AI32+AI30</f>
        <v>0</v>
      </c>
      <c r="AJ29" s="107">
        <f t="shared" ref="AJ29" si="145">AJ31+AJ32+AJ30</f>
        <v>0</v>
      </c>
      <c r="AK29" s="107">
        <f t="shared" ref="AK29" si="146">AK31+AK32+AK30</f>
        <v>0</v>
      </c>
      <c r="AL29" s="107">
        <f t="shared" ref="AL29" si="147">AL31+AL32+AL30</f>
        <v>0</v>
      </c>
      <c r="AM29" s="107">
        <f t="shared" ref="AM29" si="148">AM31+AM32+AM30</f>
        <v>0</v>
      </c>
      <c r="AN29" s="107">
        <f t="shared" ref="AN29" si="149">AN31+AN32+AN30</f>
        <v>0</v>
      </c>
      <c r="AO29" s="107">
        <f t="shared" ref="AO29" si="150">AO31+AO32+AO30</f>
        <v>0</v>
      </c>
      <c r="AP29" s="107">
        <f t="shared" ref="AP29" si="151">AP31+AP32+AP30</f>
        <v>0</v>
      </c>
      <c r="AQ29" s="107">
        <f t="shared" ref="AQ29" si="152">AQ31+AQ32+AQ30</f>
        <v>0</v>
      </c>
      <c r="AR29" s="107">
        <f t="shared" ref="AR29" si="153">AR31+AR32+AR30</f>
        <v>0</v>
      </c>
      <c r="AS29" s="107">
        <f t="shared" ref="AS29" si="154">AS31+AS32+AS30</f>
        <v>0</v>
      </c>
      <c r="AT29" s="107">
        <f t="shared" ref="AT29" si="155">AT31+AT32+AT30</f>
        <v>0</v>
      </c>
      <c r="AU29" s="107">
        <f t="shared" ref="AU29" si="156">AU31+AU32+AU30</f>
        <v>0</v>
      </c>
      <c r="AV29" s="107">
        <f t="shared" ref="AV29" si="157">AV31+AV32+AV30</f>
        <v>0</v>
      </c>
      <c r="AW29" s="107">
        <f t="shared" ref="AW29" si="158">AW31+AW32+AW30</f>
        <v>0</v>
      </c>
      <c r="AX29" s="107">
        <f t="shared" ref="AX29" si="159">AX31+AX32+AX30</f>
        <v>0</v>
      </c>
      <c r="AY29" s="107">
        <f t="shared" ref="AY29" si="160">AY31+AY32+AY30</f>
        <v>0</v>
      </c>
      <c r="AZ29" s="107">
        <f t="shared" ref="AZ29" si="161">AZ31+AZ32+AZ30</f>
        <v>0</v>
      </c>
      <c r="BA29" s="107">
        <f t="shared" ref="BA29" si="162">BA31+BA32+BA30</f>
        <v>0</v>
      </c>
      <c r="BB29" s="107">
        <f t="shared" ref="BB29" si="163">BB31+BB32+BB30</f>
        <v>0</v>
      </c>
      <c r="BC29" s="120">
        <f t="shared" si="31"/>
        <v>0</v>
      </c>
      <c r="BD29" s="120">
        <f t="shared" si="32"/>
        <v>0</v>
      </c>
      <c r="BE29" s="120">
        <f t="shared" si="33"/>
        <v>0</v>
      </c>
      <c r="BF29" s="120">
        <f t="shared" si="34"/>
        <v>0</v>
      </c>
      <c r="BG29" s="120">
        <f t="shared" si="35"/>
        <v>0</v>
      </c>
      <c r="BH29" s="111"/>
    </row>
    <row r="30" spans="1:60" ht="45">
      <c r="A30" s="91" t="s">
        <v>410</v>
      </c>
      <c r="B30" s="92" t="s">
        <v>411</v>
      </c>
      <c r="C30" s="102" t="s">
        <v>412</v>
      </c>
      <c r="D30" s="101" t="s">
        <v>385</v>
      </c>
      <c r="E30" s="120">
        <f t="shared" si="28"/>
        <v>0</v>
      </c>
      <c r="F30" s="120">
        <f t="shared" si="0"/>
        <v>0</v>
      </c>
      <c r="G30" s="120">
        <f t="shared" si="0"/>
        <v>0</v>
      </c>
      <c r="H30" s="120">
        <f t="shared" si="0"/>
        <v>0</v>
      </c>
      <c r="I30" s="120">
        <f t="shared" si="0"/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120">
        <f t="shared" si="29"/>
        <v>0</v>
      </c>
      <c r="AE30" s="120">
        <f t="shared" si="8"/>
        <v>0</v>
      </c>
      <c r="AF30" s="120">
        <f t="shared" si="9"/>
        <v>0</v>
      </c>
      <c r="AG30" s="120">
        <f t="shared" si="10"/>
        <v>0</v>
      </c>
      <c r="AH30" s="120">
        <f t="shared" si="30"/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120">
        <f t="shared" si="31"/>
        <v>0</v>
      </c>
      <c r="BD30" s="120">
        <f t="shared" si="32"/>
        <v>0</v>
      </c>
      <c r="BE30" s="120">
        <f t="shared" si="33"/>
        <v>0</v>
      </c>
      <c r="BF30" s="120">
        <f t="shared" si="34"/>
        <v>0</v>
      </c>
      <c r="BG30" s="120">
        <f t="shared" si="35"/>
        <v>0</v>
      </c>
      <c r="BH30" s="111"/>
    </row>
    <row r="31" spans="1:60" ht="60">
      <c r="A31" s="121" t="s">
        <v>442</v>
      </c>
      <c r="B31" s="122" t="s">
        <v>414</v>
      </c>
      <c r="C31" s="123" t="s">
        <v>308</v>
      </c>
      <c r="D31" s="101" t="s">
        <v>385</v>
      </c>
      <c r="E31" s="120">
        <f t="shared" si="28"/>
        <v>0</v>
      </c>
      <c r="F31" s="120">
        <f t="shared" si="0"/>
        <v>0</v>
      </c>
      <c r="G31" s="120">
        <f t="shared" si="0"/>
        <v>0</v>
      </c>
      <c r="H31" s="120">
        <f t="shared" si="0"/>
        <v>0</v>
      </c>
      <c r="I31" s="120">
        <f t="shared" si="0"/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120">
        <f t="shared" si="29"/>
        <v>0</v>
      </c>
      <c r="AE31" s="120">
        <f t="shared" si="8"/>
        <v>0</v>
      </c>
      <c r="AF31" s="120">
        <f t="shared" si="9"/>
        <v>0</v>
      </c>
      <c r="AG31" s="120">
        <f t="shared" si="10"/>
        <v>0</v>
      </c>
      <c r="AH31" s="120">
        <f t="shared" si="30"/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120">
        <f t="shared" si="31"/>
        <v>0</v>
      </c>
      <c r="BD31" s="120">
        <f t="shared" si="32"/>
        <v>0</v>
      </c>
      <c r="BE31" s="120">
        <f t="shared" si="33"/>
        <v>0</v>
      </c>
      <c r="BF31" s="120">
        <f t="shared" si="34"/>
        <v>0</v>
      </c>
      <c r="BG31" s="120">
        <f t="shared" si="35"/>
        <v>0</v>
      </c>
      <c r="BH31" s="111"/>
    </row>
    <row r="32" spans="1:60" ht="60">
      <c r="A32" s="91" t="s">
        <v>443</v>
      </c>
      <c r="B32" s="92" t="s">
        <v>416</v>
      </c>
      <c r="C32" s="102" t="s">
        <v>417</v>
      </c>
      <c r="D32" s="101" t="s">
        <v>385</v>
      </c>
      <c r="E32" s="120">
        <f t="shared" si="28"/>
        <v>0</v>
      </c>
      <c r="F32" s="120">
        <f t="shared" si="0"/>
        <v>0</v>
      </c>
      <c r="G32" s="120">
        <f t="shared" si="0"/>
        <v>0</v>
      </c>
      <c r="H32" s="120">
        <f t="shared" si="0"/>
        <v>0</v>
      </c>
      <c r="I32" s="120">
        <f t="shared" si="0"/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120">
        <f t="shared" si="29"/>
        <v>0</v>
      </c>
      <c r="AE32" s="120">
        <f t="shared" si="8"/>
        <v>0</v>
      </c>
      <c r="AF32" s="120">
        <f t="shared" si="9"/>
        <v>0</v>
      </c>
      <c r="AG32" s="120">
        <f t="shared" si="10"/>
        <v>0</v>
      </c>
      <c r="AH32" s="120">
        <f t="shared" si="30"/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120">
        <f t="shared" si="31"/>
        <v>0</v>
      </c>
      <c r="BD32" s="120">
        <f t="shared" si="32"/>
        <v>0</v>
      </c>
      <c r="BE32" s="120">
        <f t="shared" si="33"/>
        <v>0</v>
      </c>
      <c r="BF32" s="120">
        <f t="shared" si="34"/>
        <v>0</v>
      </c>
      <c r="BG32" s="120">
        <f t="shared" si="35"/>
        <v>0</v>
      </c>
      <c r="BH32" s="111"/>
    </row>
    <row r="33" spans="1:60" ht="31.5">
      <c r="A33" s="114" t="s">
        <v>418</v>
      </c>
      <c r="B33" s="105" t="s">
        <v>419</v>
      </c>
      <c r="C33" s="103" t="s">
        <v>385</v>
      </c>
      <c r="D33" s="101" t="s">
        <v>385</v>
      </c>
      <c r="E33" s="120">
        <f t="shared" si="28"/>
        <v>0</v>
      </c>
      <c r="F33" s="120">
        <f t="shared" si="28"/>
        <v>0</v>
      </c>
      <c r="G33" s="120">
        <f t="shared" si="28"/>
        <v>0</v>
      </c>
      <c r="H33" s="120">
        <f t="shared" si="28"/>
        <v>0</v>
      </c>
      <c r="I33" s="120">
        <f t="shared" si="28"/>
        <v>0</v>
      </c>
      <c r="J33" s="5">
        <f t="shared" ref="J33:M33" si="164">J34</f>
        <v>0</v>
      </c>
      <c r="K33" s="5">
        <f t="shared" si="164"/>
        <v>0</v>
      </c>
      <c r="L33" s="5">
        <f t="shared" si="164"/>
        <v>0</v>
      </c>
      <c r="M33" s="5">
        <f t="shared" si="164"/>
        <v>0</v>
      </c>
      <c r="N33" s="5">
        <f>N34</f>
        <v>0</v>
      </c>
      <c r="O33" s="5">
        <f t="shared" ref="O33:R33" si="165">O34</f>
        <v>0</v>
      </c>
      <c r="P33" s="5">
        <f t="shared" si="165"/>
        <v>0</v>
      </c>
      <c r="Q33" s="5">
        <f t="shared" si="165"/>
        <v>0</v>
      </c>
      <c r="R33" s="5">
        <f t="shared" si="165"/>
        <v>0</v>
      </c>
      <c r="S33" s="5">
        <f>S34</f>
        <v>0</v>
      </c>
      <c r="T33" s="5">
        <f t="shared" ref="T33:W33" si="166">T34</f>
        <v>0</v>
      </c>
      <c r="U33" s="5">
        <f t="shared" si="166"/>
        <v>0</v>
      </c>
      <c r="V33" s="5">
        <f t="shared" si="166"/>
        <v>0</v>
      </c>
      <c r="W33" s="5">
        <f t="shared" si="166"/>
        <v>0</v>
      </c>
      <c r="X33" s="5">
        <f>X34</f>
        <v>0</v>
      </c>
      <c r="Y33" s="5">
        <f t="shared" ref="Y33" si="167">Y34</f>
        <v>0</v>
      </c>
      <c r="Z33" s="5">
        <f t="shared" ref="Z33" si="168">Z34</f>
        <v>0</v>
      </c>
      <c r="AA33" s="5">
        <f t="shared" ref="AA33" si="169">AA34</f>
        <v>0</v>
      </c>
      <c r="AB33" s="5">
        <f t="shared" ref="AB33" si="170">AB34</f>
        <v>0</v>
      </c>
      <c r="AC33" s="5">
        <f>AC34</f>
        <v>0</v>
      </c>
      <c r="AD33" s="120">
        <f t="shared" si="29"/>
        <v>0</v>
      </c>
      <c r="AE33" s="120">
        <f t="shared" si="8"/>
        <v>0</v>
      </c>
      <c r="AF33" s="120">
        <f t="shared" si="9"/>
        <v>0</v>
      </c>
      <c r="AG33" s="120">
        <f t="shared" si="10"/>
        <v>0</v>
      </c>
      <c r="AH33" s="120">
        <f t="shared" si="30"/>
        <v>0</v>
      </c>
      <c r="AI33" s="5">
        <f t="shared" ref="AI33" si="171">AI34</f>
        <v>0</v>
      </c>
      <c r="AJ33" s="5">
        <f t="shared" ref="AJ33" si="172">AJ34</f>
        <v>0</v>
      </c>
      <c r="AK33" s="5">
        <f t="shared" ref="AK33" si="173">AK34</f>
        <v>0</v>
      </c>
      <c r="AL33" s="5">
        <f t="shared" ref="AL33" si="174">AL34</f>
        <v>0</v>
      </c>
      <c r="AM33" s="5">
        <f>AM34</f>
        <v>0</v>
      </c>
      <c r="AN33" s="5">
        <f t="shared" ref="AN33" si="175">AN34</f>
        <v>0</v>
      </c>
      <c r="AO33" s="5">
        <f t="shared" ref="AO33" si="176">AO34</f>
        <v>0</v>
      </c>
      <c r="AP33" s="5">
        <f t="shared" ref="AP33" si="177">AP34</f>
        <v>0</v>
      </c>
      <c r="AQ33" s="5">
        <f t="shared" ref="AQ33" si="178">AQ34</f>
        <v>0</v>
      </c>
      <c r="AR33" s="5">
        <f>AR34</f>
        <v>0</v>
      </c>
      <c r="AS33" s="5">
        <f t="shared" ref="AS33" si="179">AS34</f>
        <v>0</v>
      </c>
      <c r="AT33" s="5">
        <f t="shared" ref="AT33" si="180">AT34</f>
        <v>0</v>
      </c>
      <c r="AU33" s="5">
        <f t="shared" ref="AU33" si="181">AU34</f>
        <v>0</v>
      </c>
      <c r="AV33" s="5">
        <f t="shared" ref="AV33" si="182">AV34</f>
        <v>0</v>
      </c>
      <c r="AW33" s="5">
        <f>AW34</f>
        <v>0</v>
      </c>
      <c r="AX33" s="5">
        <f t="shared" ref="AX33" si="183">AX34</f>
        <v>0</v>
      </c>
      <c r="AY33" s="5">
        <f t="shared" ref="AY33" si="184">AY34</f>
        <v>0</v>
      </c>
      <c r="AZ33" s="5">
        <f t="shared" ref="AZ33" si="185">AZ34</f>
        <v>0</v>
      </c>
      <c r="BA33" s="5">
        <f t="shared" ref="BA33" si="186">BA34</f>
        <v>0</v>
      </c>
      <c r="BB33" s="5">
        <f>BB34</f>
        <v>0</v>
      </c>
      <c r="BC33" s="120">
        <f t="shared" si="31"/>
        <v>0</v>
      </c>
      <c r="BD33" s="120">
        <f t="shared" si="32"/>
        <v>0</v>
      </c>
      <c r="BE33" s="120">
        <f t="shared" si="33"/>
        <v>0</v>
      </c>
      <c r="BF33" s="120">
        <f t="shared" si="34"/>
        <v>0</v>
      </c>
      <c r="BG33" s="120">
        <f t="shared" si="35"/>
        <v>0</v>
      </c>
      <c r="BH33" s="111"/>
    </row>
    <row r="34" spans="1:60" ht="47.25">
      <c r="A34" s="93" t="s">
        <v>420</v>
      </c>
      <c r="B34" s="94" t="s">
        <v>421</v>
      </c>
      <c r="C34" s="103" t="s">
        <v>422</v>
      </c>
      <c r="D34" s="101" t="s">
        <v>385</v>
      </c>
      <c r="E34" s="120">
        <f t="shared" si="28"/>
        <v>0</v>
      </c>
      <c r="F34" s="120">
        <f t="shared" si="28"/>
        <v>0</v>
      </c>
      <c r="G34" s="120">
        <f t="shared" si="28"/>
        <v>0</v>
      </c>
      <c r="H34" s="120">
        <f t="shared" si="28"/>
        <v>0</v>
      </c>
      <c r="I34" s="120">
        <f t="shared" si="28"/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120">
        <f t="shared" si="29"/>
        <v>0</v>
      </c>
      <c r="AE34" s="120">
        <f t="shared" si="8"/>
        <v>0</v>
      </c>
      <c r="AF34" s="120">
        <f t="shared" si="9"/>
        <v>0</v>
      </c>
      <c r="AG34" s="120">
        <f t="shared" si="10"/>
        <v>0</v>
      </c>
      <c r="AH34" s="120">
        <f t="shared" si="30"/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120">
        <f t="shared" si="31"/>
        <v>0</v>
      </c>
      <c r="BD34" s="120">
        <f t="shared" si="32"/>
        <v>0</v>
      </c>
      <c r="BE34" s="120">
        <f t="shared" si="33"/>
        <v>0</v>
      </c>
      <c r="BF34" s="120">
        <f t="shared" si="34"/>
        <v>0</v>
      </c>
      <c r="BG34" s="120">
        <f t="shared" si="35"/>
        <v>0</v>
      </c>
      <c r="BH34" s="111"/>
    </row>
    <row r="35" spans="1:60" ht="42.75">
      <c r="A35" s="89" t="s">
        <v>423</v>
      </c>
      <c r="B35" s="95" t="s">
        <v>424</v>
      </c>
      <c r="C35" s="104" t="s">
        <v>385</v>
      </c>
      <c r="D35" s="101" t="s">
        <v>385</v>
      </c>
      <c r="E35" s="120">
        <f t="shared" si="28"/>
        <v>0</v>
      </c>
      <c r="F35" s="120">
        <f t="shared" si="28"/>
        <v>0</v>
      </c>
      <c r="G35" s="120">
        <f t="shared" si="28"/>
        <v>0</v>
      </c>
      <c r="H35" s="120">
        <f t="shared" si="28"/>
        <v>0</v>
      </c>
      <c r="I35" s="120">
        <f t="shared" si="28"/>
        <v>0</v>
      </c>
      <c r="J35" s="5">
        <f t="shared" ref="J35:Y35" si="187">J36</f>
        <v>0</v>
      </c>
      <c r="K35" s="5">
        <f t="shared" si="187"/>
        <v>0</v>
      </c>
      <c r="L35" s="5">
        <f t="shared" si="187"/>
        <v>0</v>
      </c>
      <c r="M35" s="5">
        <f t="shared" si="187"/>
        <v>0</v>
      </c>
      <c r="N35" s="5">
        <f t="shared" si="187"/>
        <v>0</v>
      </c>
      <c r="O35" s="5">
        <f t="shared" si="187"/>
        <v>0</v>
      </c>
      <c r="P35" s="5">
        <f t="shared" si="187"/>
        <v>0</v>
      </c>
      <c r="Q35" s="5">
        <f t="shared" si="187"/>
        <v>0</v>
      </c>
      <c r="R35" s="5">
        <f t="shared" si="187"/>
        <v>0</v>
      </c>
      <c r="S35" s="5">
        <f t="shared" si="187"/>
        <v>0</v>
      </c>
      <c r="T35" s="5">
        <f t="shared" si="187"/>
        <v>0</v>
      </c>
      <c r="U35" s="5">
        <f t="shared" si="187"/>
        <v>0</v>
      </c>
      <c r="V35" s="5">
        <f t="shared" si="187"/>
        <v>0</v>
      </c>
      <c r="W35" s="5">
        <f t="shared" si="187"/>
        <v>0</v>
      </c>
      <c r="X35" s="5">
        <f t="shared" si="187"/>
        <v>0</v>
      </c>
      <c r="Y35" s="5">
        <f t="shared" si="187"/>
        <v>0</v>
      </c>
      <c r="Z35" s="5">
        <f t="shared" ref="Z35:AC35" si="188">Z36</f>
        <v>0</v>
      </c>
      <c r="AA35" s="5">
        <f t="shared" si="188"/>
        <v>0</v>
      </c>
      <c r="AB35" s="5">
        <f t="shared" si="188"/>
        <v>0</v>
      </c>
      <c r="AC35" s="5">
        <f t="shared" si="188"/>
        <v>0</v>
      </c>
      <c r="AD35" s="120">
        <f t="shared" si="29"/>
        <v>0</v>
      </c>
      <c r="AE35" s="120">
        <f t="shared" si="8"/>
        <v>0</v>
      </c>
      <c r="AF35" s="120">
        <f t="shared" si="9"/>
        <v>0</v>
      </c>
      <c r="AG35" s="120">
        <f t="shared" si="10"/>
        <v>0</v>
      </c>
      <c r="AH35" s="120">
        <f t="shared" si="30"/>
        <v>0</v>
      </c>
      <c r="AI35" s="5">
        <f t="shared" ref="AI35:AX35" si="189">AI36</f>
        <v>0</v>
      </c>
      <c r="AJ35" s="5">
        <f t="shared" si="189"/>
        <v>0</v>
      </c>
      <c r="AK35" s="5">
        <f t="shared" si="189"/>
        <v>0</v>
      </c>
      <c r="AL35" s="5">
        <f t="shared" si="189"/>
        <v>0</v>
      </c>
      <c r="AM35" s="5">
        <f t="shared" si="189"/>
        <v>0</v>
      </c>
      <c r="AN35" s="5">
        <f t="shared" si="189"/>
        <v>0</v>
      </c>
      <c r="AO35" s="5">
        <f t="shared" si="189"/>
        <v>0</v>
      </c>
      <c r="AP35" s="5">
        <f t="shared" si="189"/>
        <v>0</v>
      </c>
      <c r="AQ35" s="5">
        <f t="shared" si="189"/>
        <v>0</v>
      </c>
      <c r="AR35" s="5">
        <f t="shared" si="189"/>
        <v>0</v>
      </c>
      <c r="AS35" s="5">
        <f t="shared" si="189"/>
        <v>0</v>
      </c>
      <c r="AT35" s="5">
        <f t="shared" si="189"/>
        <v>0</v>
      </c>
      <c r="AU35" s="5">
        <f t="shared" si="189"/>
        <v>0</v>
      </c>
      <c r="AV35" s="5">
        <f t="shared" si="189"/>
        <v>0</v>
      </c>
      <c r="AW35" s="5">
        <f t="shared" si="189"/>
        <v>0</v>
      </c>
      <c r="AX35" s="5">
        <f t="shared" si="189"/>
        <v>0</v>
      </c>
      <c r="AY35" s="5">
        <f t="shared" ref="AY35:BB35" si="190">AY36</f>
        <v>0</v>
      </c>
      <c r="AZ35" s="5">
        <f t="shared" si="190"/>
        <v>0</v>
      </c>
      <c r="BA35" s="5">
        <f t="shared" si="190"/>
        <v>0</v>
      </c>
      <c r="BB35" s="5">
        <f t="shared" si="190"/>
        <v>0</v>
      </c>
      <c r="BC35" s="120">
        <f t="shared" si="31"/>
        <v>0</v>
      </c>
      <c r="BD35" s="120">
        <f t="shared" si="32"/>
        <v>0</v>
      </c>
      <c r="BE35" s="120">
        <f t="shared" si="33"/>
        <v>0</v>
      </c>
      <c r="BF35" s="120">
        <f t="shared" si="34"/>
        <v>0</v>
      </c>
      <c r="BG35" s="120">
        <f t="shared" si="35"/>
        <v>0</v>
      </c>
      <c r="BH35" s="111"/>
    </row>
    <row r="36" spans="1:60" ht="30">
      <c r="A36" s="96" t="s">
        <v>425</v>
      </c>
      <c r="B36" s="97" t="s">
        <v>426</v>
      </c>
      <c r="C36" s="104" t="s">
        <v>385</v>
      </c>
      <c r="D36" s="101" t="s">
        <v>385</v>
      </c>
      <c r="E36" s="120">
        <f t="shared" si="28"/>
        <v>0</v>
      </c>
      <c r="F36" s="120">
        <f t="shared" si="28"/>
        <v>0</v>
      </c>
      <c r="G36" s="120">
        <f t="shared" si="28"/>
        <v>0</v>
      </c>
      <c r="H36" s="120">
        <f t="shared" si="28"/>
        <v>0</v>
      </c>
      <c r="I36" s="120">
        <f t="shared" si="28"/>
        <v>0</v>
      </c>
      <c r="J36" s="5">
        <f>J37+J38</f>
        <v>0</v>
      </c>
      <c r="K36" s="5">
        <f t="shared" ref="K36:AD36" si="191">K37+K38</f>
        <v>0</v>
      </c>
      <c r="L36" s="5">
        <f t="shared" si="191"/>
        <v>0</v>
      </c>
      <c r="M36" s="5">
        <f t="shared" si="191"/>
        <v>0</v>
      </c>
      <c r="N36" s="5">
        <f t="shared" si="191"/>
        <v>0</v>
      </c>
      <c r="O36" s="5">
        <f t="shared" si="191"/>
        <v>0</v>
      </c>
      <c r="P36" s="5">
        <f t="shared" si="191"/>
        <v>0</v>
      </c>
      <c r="Q36" s="5">
        <f t="shared" si="191"/>
        <v>0</v>
      </c>
      <c r="R36" s="5">
        <f t="shared" si="191"/>
        <v>0</v>
      </c>
      <c r="S36" s="5">
        <f t="shared" si="191"/>
        <v>0</v>
      </c>
      <c r="T36" s="5">
        <f t="shared" si="191"/>
        <v>0</v>
      </c>
      <c r="U36" s="5">
        <f t="shared" si="191"/>
        <v>0</v>
      </c>
      <c r="V36" s="5">
        <f t="shared" si="191"/>
        <v>0</v>
      </c>
      <c r="W36" s="5">
        <f t="shared" si="191"/>
        <v>0</v>
      </c>
      <c r="X36" s="5">
        <f t="shared" si="191"/>
        <v>0</v>
      </c>
      <c r="Y36" s="5">
        <f t="shared" si="191"/>
        <v>0</v>
      </c>
      <c r="Z36" s="5">
        <f t="shared" si="191"/>
        <v>0</v>
      </c>
      <c r="AA36" s="5">
        <f t="shared" si="191"/>
        <v>0</v>
      </c>
      <c r="AB36" s="5">
        <f t="shared" si="191"/>
        <v>0</v>
      </c>
      <c r="AC36" s="5">
        <f t="shared" si="191"/>
        <v>0</v>
      </c>
      <c r="AD36" s="5">
        <f t="shared" si="191"/>
        <v>0</v>
      </c>
      <c r="AE36" s="120">
        <f t="shared" si="8"/>
        <v>0</v>
      </c>
      <c r="AF36" s="120">
        <f t="shared" si="9"/>
        <v>0</v>
      </c>
      <c r="AG36" s="120">
        <f t="shared" si="10"/>
        <v>0</v>
      </c>
      <c r="AH36" s="120">
        <f t="shared" si="30"/>
        <v>0</v>
      </c>
      <c r="AI36" s="5">
        <f>AI37+AI38</f>
        <v>0</v>
      </c>
      <c r="AJ36" s="5">
        <f t="shared" ref="AJ36" si="192">AJ37+AJ38</f>
        <v>0</v>
      </c>
      <c r="AK36" s="5">
        <f t="shared" ref="AK36" si="193">AK37+AK38</f>
        <v>0</v>
      </c>
      <c r="AL36" s="5">
        <f t="shared" ref="AL36" si="194">AL37+AL38</f>
        <v>0</v>
      </c>
      <c r="AM36" s="5">
        <f t="shared" ref="AM36" si="195">AM37+AM38</f>
        <v>0</v>
      </c>
      <c r="AN36" s="5">
        <f t="shared" ref="AN36" si="196">AN37+AN38</f>
        <v>0</v>
      </c>
      <c r="AO36" s="5">
        <f t="shared" ref="AO36" si="197">AO37+AO38</f>
        <v>0</v>
      </c>
      <c r="AP36" s="5">
        <f t="shared" ref="AP36" si="198">AP37+AP38</f>
        <v>0</v>
      </c>
      <c r="AQ36" s="5">
        <f t="shared" ref="AQ36" si="199">AQ37+AQ38</f>
        <v>0</v>
      </c>
      <c r="AR36" s="5">
        <f t="shared" ref="AR36" si="200">AR37+AR38</f>
        <v>0</v>
      </c>
      <c r="AS36" s="5">
        <f t="shared" ref="AS36" si="201">AS37+AS38</f>
        <v>0</v>
      </c>
      <c r="AT36" s="5">
        <f t="shared" ref="AT36" si="202">AT37+AT38</f>
        <v>0</v>
      </c>
      <c r="AU36" s="5">
        <f t="shared" ref="AU36" si="203">AU37+AU38</f>
        <v>0</v>
      </c>
      <c r="AV36" s="5">
        <f t="shared" ref="AV36" si="204">AV37+AV38</f>
        <v>0</v>
      </c>
      <c r="AW36" s="5">
        <f t="shared" ref="AW36" si="205">AW37+AW38</f>
        <v>0</v>
      </c>
      <c r="AX36" s="5">
        <f t="shared" ref="AX36" si="206">AX37+AX38</f>
        <v>0</v>
      </c>
      <c r="AY36" s="5">
        <f t="shared" ref="AY36" si="207">AY37+AY38</f>
        <v>0</v>
      </c>
      <c r="AZ36" s="5">
        <f t="shared" ref="AZ36" si="208">AZ37+AZ38</f>
        <v>0</v>
      </c>
      <c r="BA36" s="5">
        <f t="shared" ref="BA36" si="209">BA37+BA38</f>
        <v>0</v>
      </c>
      <c r="BB36" s="5">
        <f t="shared" ref="BB36" si="210">BB37+BB38</f>
        <v>0</v>
      </c>
      <c r="BC36" s="5">
        <f t="shared" ref="BC36" si="211">BC37+BC38</f>
        <v>0</v>
      </c>
      <c r="BD36" s="120">
        <f t="shared" si="32"/>
        <v>0</v>
      </c>
      <c r="BE36" s="120">
        <f t="shared" si="33"/>
        <v>0</v>
      </c>
      <c r="BF36" s="120">
        <f t="shared" si="34"/>
        <v>0</v>
      </c>
      <c r="BG36" s="120">
        <f t="shared" si="35"/>
        <v>0</v>
      </c>
      <c r="BH36" s="111"/>
    </row>
    <row r="37" spans="1:60" ht="30">
      <c r="A37" s="128" t="s">
        <v>427</v>
      </c>
      <c r="B37" s="129" t="s">
        <v>428</v>
      </c>
      <c r="C37" s="130" t="s">
        <v>273</v>
      </c>
      <c r="D37" s="101" t="s">
        <v>385</v>
      </c>
      <c r="E37" s="120">
        <f t="shared" si="28"/>
        <v>0</v>
      </c>
      <c r="F37" s="120">
        <f t="shared" si="28"/>
        <v>0</v>
      </c>
      <c r="G37" s="120">
        <f t="shared" si="28"/>
        <v>0</v>
      </c>
      <c r="H37" s="120">
        <f t="shared" si="28"/>
        <v>0</v>
      </c>
      <c r="I37" s="120">
        <f t="shared" si="28"/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0">
        <f t="shared" si="29"/>
        <v>0</v>
      </c>
      <c r="AE37" s="120">
        <f t="shared" si="8"/>
        <v>0</v>
      </c>
      <c r="AF37" s="120">
        <f t="shared" si="9"/>
        <v>0</v>
      </c>
      <c r="AG37" s="120">
        <f t="shared" si="10"/>
        <v>0</v>
      </c>
      <c r="AH37" s="120">
        <f t="shared" si="30"/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0">
        <f t="shared" si="31"/>
        <v>0</v>
      </c>
      <c r="BD37" s="120">
        <f t="shared" si="32"/>
        <v>0</v>
      </c>
      <c r="BE37" s="120">
        <f t="shared" si="33"/>
        <v>0</v>
      </c>
      <c r="BF37" s="120">
        <f t="shared" si="34"/>
        <v>0</v>
      </c>
      <c r="BG37" s="120">
        <f t="shared" si="35"/>
        <v>0</v>
      </c>
      <c r="BH37" s="111"/>
    </row>
    <row r="38" spans="1:60" ht="32.25" customHeight="1">
      <c r="A38" s="128" t="s">
        <v>1063</v>
      </c>
      <c r="B38" s="129" t="s">
        <v>428</v>
      </c>
      <c r="C38" s="130" t="s">
        <v>1116</v>
      </c>
      <c r="D38" s="101" t="s">
        <v>385</v>
      </c>
      <c r="E38" s="120">
        <f t="shared" ref="E38" si="212">J38+O38+T38+Y38</f>
        <v>0</v>
      </c>
      <c r="F38" s="120">
        <f t="shared" ref="F38" si="213">K38+P38+U38+Z38</f>
        <v>0</v>
      </c>
      <c r="G38" s="120">
        <f t="shared" ref="G38" si="214">L38+Q38+V38+AA38</f>
        <v>0</v>
      </c>
      <c r="H38" s="120">
        <f t="shared" ref="H38" si="215">M38+R38+W38+AB38</f>
        <v>0</v>
      </c>
      <c r="I38" s="120">
        <f t="shared" ref="I38" si="216">N38+S38+X38+AC38</f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0">
        <f t="shared" ref="AD38" si="217">AI38+AN38+AS38+AX38</f>
        <v>0</v>
      </c>
      <c r="AE38" s="120">
        <f t="shared" ref="AE38" si="218">AJ38+AO38+AT38+AY38</f>
        <v>0</v>
      </c>
      <c r="AF38" s="120">
        <f t="shared" ref="AF38" si="219">AK38+AP38+AU38+AZ38</f>
        <v>0</v>
      </c>
      <c r="AG38" s="120">
        <f t="shared" ref="AG38" si="220">AL38+AQ38+AV38+BA38</f>
        <v>0</v>
      </c>
      <c r="AH38" s="120">
        <f t="shared" ref="AH38" si="221">AM38+AR38+AW38+BB38</f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0">
        <f t="shared" ref="BC38" si="222">AD38-(E38-Y38)</f>
        <v>0</v>
      </c>
      <c r="BD38" s="120">
        <f t="shared" ref="BD38" si="223">AE38-(F38-Z38)</f>
        <v>0</v>
      </c>
      <c r="BE38" s="120">
        <f t="shared" ref="BE38" si="224">AF38-(G38-AA38)</f>
        <v>0</v>
      </c>
      <c r="BF38" s="120">
        <f t="shared" ref="BF38" si="225">AG38-(H38-AB38)</f>
        <v>0</v>
      </c>
      <c r="BG38" s="120">
        <f t="shared" ref="BG38" si="226">AH38-(I38-AC38)</f>
        <v>0</v>
      </c>
      <c r="BH38" s="327"/>
    </row>
    <row r="39" spans="1:60" ht="42.75">
      <c r="A39" s="89" t="s">
        <v>429</v>
      </c>
      <c r="B39" s="90" t="s">
        <v>430</v>
      </c>
      <c r="C39" s="101"/>
      <c r="D39" s="101" t="s">
        <v>385</v>
      </c>
      <c r="E39" s="120">
        <f t="shared" si="28"/>
        <v>0</v>
      </c>
      <c r="F39" s="120">
        <f t="shared" si="28"/>
        <v>0</v>
      </c>
      <c r="G39" s="120">
        <f t="shared" si="28"/>
        <v>0</v>
      </c>
      <c r="H39" s="120">
        <f t="shared" si="28"/>
        <v>0</v>
      </c>
      <c r="I39" s="120">
        <f t="shared" si="28"/>
        <v>0</v>
      </c>
      <c r="J39" s="5">
        <f t="shared" ref="J39:M39" si="227">J40+J41+J42</f>
        <v>0</v>
      </c>
      <c r="K39" s="5">
        <f t="shared" si="227"/>
        <v>0</v>
      </c>
      <c r="L39" s="5">
        <f t="shared" si="227"/>
        <v>0</v>
      </c>
      <c r="M39" s="5">
        <f t="shared" si="227"/>
        <v>0</v>
      </c>
      <c r="N39" s="5">
        <f>N40+N41+N42</f>
        <v>0</v>
      </c>
      <c r="O39" s="5">
        <f t="shared" ref="O39:R39" si="228">O40+O41+O42</f>
        <v>0</v>
      </c>
      <c r="P39" s="5">
        <f t="shared" si="228"/>
        <v>0</v>
      </c>
      <c r="Q39" s="5">
        <f t="shared" si="228"/>
        <v>0</v>
      </c>
      <c r="R39" s="5">
        <f t="shared" si="228"/>
        <v>0</v>
      </c>
      <c r="S39" s="5">
        <f>S40+S41+S42</f>
        <v>0</v>
      </c>
      <c r="T39" s="5">
        <f t="shared" ref="T39:W39" si="229">T40+T41+T42</f>
        <v>0</v>
      </c>
      <c r="U39" s="5">
        <f t="shared" si="229"/>
        <v>0</v>
      </c>
      <c r="V39" s="5">
        <f t="shared" si="229"/>
        <v>0</v>
      </c>
      <c r="W39" s="5">
        <f t="shared" si="229"/>
        <v>0</v>
      </c>
      <c r="X39" s="5">
        <f>X40+X41+X42</f>
        <v>0</v>
      </c>
      <c r="Y39" s="5">
        <f t="shared" ref="Y39" si="230">Y40+Y41+Y42</f>
        <v>0</v>
      </c>
      <c r="Z39" s="5">
        <f t="shared" ref="Z39" si="231">Z40+Z41+Z42</f>
        <v>0</v>
      </c>
      <c r="AA39" s="5">
        <f t="shared" ref="AA39" si="232">AA40+AA41+AA42</f>
        <v>0</v>
      </c>
      <c r="AB39" s="5">
        <f t="shared" ref="AB39" si="233">AB40+AB41+AB42</f>
        <v>0</v>
      </c>
      <c r="AC39" s="5">
        <f>AC40+AC41+AC42</f>
        <v>0</v>
      </c>
      <c r="AD39" s="120">
        <f t="shared" si="29"/>
        <v>0</v>
      </c>
      <c r="AE39" s="120">
        <f t="shared" si="8"/>
        <v>0</v>
      </c>
      <c r="AF39" s="120">
        <f t="shared" si="9"/>
        <v>0</v>
      </c>
      <c r="AG39" s="120">
        <f t="shared" si="10"/>
        <v>0</v>
      </c>
      <c r="AH39" s="120">
        <f t="shared" si="30"/>
        <v>0</v>
      </c>
      <c r="AI39" s="5">
        <f t="shared" ref="AI39" si="234">AI40+AI41+AI42</f>
        <v>0</v>
      </c>
      <c r="AJ39" s="5">
        <f t="shared" ref="AJ39" si="235">AJ40+AJ41+AJ42</f>
        <v>0</v>
      </c>
      <c r="AK39" s="5">
        <f t="shared" ref="AK39" si="236">AK40+AK41+AK42</f>
        <v>0</v>
      </c>
      <c r="AL39" s="5">
        <f t="shared" ref="AL39" si="237">AL40+AL41+AL42</f>
        <v>0</v>
      </c>
      <c r="AM39" s="5">
        <f>AM40+AM41+AM42</f>
        <v>0</v>
      </c>
      <c r="AN39" s="5">
        <f t="shared" ref="AN39" si="238">AN40+AN41+AN42</f>
        <v>0</v>
      </c>
      <c r="AO39" s="5">
        <f t="shared" ref="AO39" si="239">AO40+AO41+AO42</f>
        <v>0</v>
      </c>
      <c r="AP39" s="5">
        <f t="shared" ref="AP39" si="240">AP40+AP41+AP42</f>
        <v>0</v>
      </c>
      <c r="AQ39" s="5">
        <f t="shared" ref="AQ39" si="241">AQ40+AQ41+AQ42</f>
        <v>0</v>
      </c>
      <c r="AR39" s="5">
        <f>AR40+AR41+AR42</f>
        <v>0</v>
      </c>
      <c r="AS39" s="5">
        <f t="shared" ref="AS39" si="242">AS40+AS41+AS42</f>
        <v>0</v>
      </c>
      <c r="AT39" s="5">
        <f t="shared" ref="AT39" si="243">AT40+AT41+AT42</f>
        <v>0</v>
      </c>
      <c r="AU39" s="5">
        <f t="shared" ref="AU39" si="244">AU40+AU41+AU42</f>
        <v>0</v>
      </c>
      <c r="AV39" s="5">
        <f t="shared" ref="AV39" si="245">AV40+AV41+AV42</f>
        <v>0</v>
      </c>
      <c r="AW39" s="5">
        <f>AW40+AW41+AW42</f>
        <v>0</v>
      </c>
      <c r="AX39" s="5">
        <f t="shared" ref="AX39" si="246">AX40+AX41+AX42</f>
        <v>0</v>
      </c>
      <c r="AY39" s="5">
        <f t="shared" ref="AY39" si="247">AY40+AY41+AY42</f>
        <v>0</v>
      </c>
      <c r="AZ39" s="5">
        <f t="shared" ref="AZ39" si="248">AZ40+AZ41+AZ42</f>
        <v>0</v>
      </c>
      <c r="BA39" s="5">
        <f t="shared" ref="BA39" si="249">BA40+BA41+BA42</f>
        <v>0</v>
      </c>
      <c r="BB39" s="5">
        <f>BB40+BB41+BB42</f>
        <v>0</v>
      </c>
      <c r="BC39" s="120">
        <f t="shared" si="31"/>
        <v>0</v>
      </c>
      <c r="BD39" s="120">
        <f t="shared" si="32"/>
        <v>0</v>
      </c>
      <c r="BE39" s="120">
        <f t="shared" si="33"/>
        <v>0</v>
      </c>
      <c r="BF39" s="120">
        <f t="shared" si="34"/>
        <v>0</v>
      </c>
      <c r="BG39" s="120">
        <f t="shared" si="35"/>
        <v>0</v>
      </c>
      <c r="BH39" s="111"/>
    </row>
    <row r="40" spans="1:60" ht="30">
      <c r="A40" s="91" t="s">
        <v>431</v>
      </c>
      <c r="B40" s="99" t="s">
        <v>432</v>
      </c>
      <c r="C40" s="102" t="s">
        <v>433</v>
      </c>
      <c r="D40" s="101" t="s">
        <v>385</v>
      </c>
      <c r="E40" s="120">
        <f t="shared" si="28"/>
        <v>0</v>
      </c>
      <c r="F40" s="120">
        <f t="shared" si="28"/>
        <v>0</v>
      </c>
      <c r="G40" s="120">
        <f t="shared" si="28"/>
        <v>0</v>
      </c>
      <c r="H40" s="120">
        <f t="shared" si="28"/>
        <v>0</v>
      </c>
      <c r="I40" s="120">
        <f t="shared" si="28"/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120">
        <f t="shared" si="29"/>
        <v>0</v>
      </c>
      <c r="AE40" s="120">
        <f t="shared" si="8"/>
        <v>0</v>
      </c>
      <c r="AF40" s="120">
        <f t="shared" si="9"/>
        <v>0</v>
      </c>
      <c r="AG40" s="120">
        <f t="shared" si="10"/>
        <v>0</v>
      </c>
      <c r="AH40" s="120">
        <f t="shared" si="30"/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120">
        <f t="shared" si="31"/>
        <v>0</v>
      </c>
      <c r="BD40" s="120">
        <f t="shared" si="32"/>
        <v>0</v>
      </c>
      <c r="BE40" s="120">
        <f t="shared" si="33"/>
        <v>0</v>
      </c>
      <c r="BF40" s="120">
        <f t="shared" si="34"/>
        <v>0</v>
      </c>
      <c r="BG40" s="120">
        <f t="shared" si="35"/>
        <v>0</v>
      </c>
      <c r="BH40" s="111"/>
    </row>
    <row r="41" spans="1:60" ht="30">
      <c r="A41" s="91" t="s">
        <v>444</v>
      </c>
      <c r="B41" s="99" t="s">
        <v>435</v>
      </c>
      <c r="C41" s="102" t="s">
        <v>436</v>
      </c>
      <c r="D41" s="101" t="s">
        <v>385</v>
      </c>
      <c r="E41" s="120">
        <f t="shared" si="28"/>
        <v>0</v>
      </c>
      <c r="F41" s="120">
        <f t="shared" si="28"/>
        <v>0</v>
      </c>
      <c r="G41" s="120">
        <f t="shared" si="28"/>
        <v>0</v>
      </c>
      <c r="H41" s="120">
        <f t="shared" si="28"/>
        <v>0</v>
      </c>
      <c r="I41" s="120">
        <f t="shared" si="28"/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120">
        <f t="shared" si="29"/>
        <v>0</v>
      </c>
      <c r="AE41" s="120">
        <f t="shared" si="8"/>
        <v>0</v>
      </c>
      <c r="AF41" s="120">
        <f t="shared" si="9"/>
        <v>0</v>
      </c>
      <c r="AG41" s="120">
        <f t="shared" si="10"/>
        <v>0</v>
      </c>
      <c r="AH41" s="120">
        <f t="shared" si="30"/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120">
        <f t="shared" si="31"/>
        <v>0</v>
      </c>
      <c r="BD41" s="120">
        <f t="shared" si="32"/>
        <v>0</v>
      </c>
      <c r="BE41" s="120">
        <f t="shared" si="33"/>
        <v>0</v>
      </c>
      <c r="BF41" s="120">
        <f t="shared" si="34"/>
        <v>0</v>
      </c>
      <c r="BG41" s="120">
        <f t="shared" si="35"/>
        <v>0</v>
      </c>
      <c r="BH41" s="111"/>
    </row>
    <row r="42" spans="1:60" ht="30">
      <c r="A42" s="91" t="s">
        <v>434</v>
      </c>
      <c r="B42" s="99" t="s">
        <v>438</v>
      </c>
      <c r="C42" s="102" t="s">
        <v>439</v>
      </c>
      <c r="D42" s="101" t="s">
        <v>385</v>
      </c>
      <c r="E42" s="120">
        <f t="shared" si="28"/>
        <v>0</v>
      </c>
      <c r="F42" s="120">
        <f t="shared" si="28"/>
        <v>0</v>
      </c>
      <c r="G42" s="120">
        <f t="shared" si="28"/>
        <v>0</v>
      </c>
      <c r="H42" s="120">
        <f t="shared" si="28"/>
        <v>0</v>
      </c>
      <c r="I42" s="120">
        <f t="shared" si="28"/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120">
        <f t="shared" si="29"/>
        <v>0</v>
      </c>
      <c r="AE42" s="120">
        <f t="shared" si="8"/>
        <v>0</v>
      </c>
      <c r="AF42" s="120">
        <f t="shared" si="9"/>
        <v>0</v>
      </c>
      <c r="AG42" s="120">
        <f t="shared" si="10"/>
        <v>0</v>
      </c>
      <c r="AH42" s="120">
        <f t="shared" si="30"/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120">
        <f t="shared" si="31"/>
        <v>0</v>
      </c>
      <c r="BD42" s="120">
        <f t="shared" si="32"/>
        <v>0</v>
      </c>
      <c r="BE42" s="120">
        <f t="shared" si="33"/>
        <v>0</v>
      </c>
      <c r="BF42" s="120">
        <f t="shared" si="34"/>
        <v>0</v>
      </c>
      <c r="BG42" s="120">
        <f t="shared" si="35"/>
        <v>0</v>
      </c>
      <c r="BH42" s="111"/>
    </row>
    <row r="43" spans="1:60" ht="28.5">
      <c r="A43" s="108"/>
      <c r="B43" s="90" t="s">
        <v>441</v>
      </c>
      <c r="C43" s="101"/>
      <c r="D43" s="101" t="s">
        <v>385</v>
      </c>
      <c r="E43" s="120">
        <f t="shared" si="28"/>
        <v>0</v>
      </c>
      <c r="F43" s="120">
        <f t="shared" si="28"/>
        <v>0</v>
      </c>
      <c r="G43" s="120">
        <f t="shared" si="28"/>
        <v>0</v>
      </c>
      <c r="H43" s="120">
        <f t="shared" si="28"/>
        <v>0</v>
      </c>
      <c r="I43" s="120">
        <f t="shared" si="28"/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120">
        <f t="shared" si="29"/>
        <v>0</v>
      </c>
      <c r="AE43" s="120">
        <f t="shared" si="8"/>
        <v>0</v>
      </c>
      <c r="AF43" s="120">
        <f t="shared" si="9"/>
        <v>0</v>
      </c>
      <c r="AG43" s="120">
        <f t="shared" si="10"/>
        <v>0</v>
      </c>
      <c r="AH43" s="120">
        <f t="shared" si="30"/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120">
        <f t="shared" si="31"/>
        <v>0</v>
      </c>
      <c r="BD43" s="120">
        <f t="shared" si="32"/>
        <v>0</v>
      </c>
      <c r="BE43" s="120">
        <f t="shared" si="33"/>
        <v>0</v>
      </c>
      <c r="BF43" s="120">
        <f t="shared" si="34"/>
        <v>0</v>
      </c>
      <c r="BG43" s="120">
        <f t="shared" si="35"/>
        <v>0</v>
      </c>
      <c r="BH43" s="70" t="s">
        <v>284</v>
      </c>
    </row>
    <row r="44" spans="1:60" ht="28.5" customHeight="1">
      <c r="A44" s="386" t="s">
        <v>31</v>
      </c>
      <c r="B44" s="386"/>
      <c r="C44" s="386"/>
      <c r="D44" s="71" t="s">
        <v>284</v>
      </c>
      <c r="E44" s="71" t="s">
        <v>284</v>
      </c>
      <c r="F44" s="71" t="s">
        <v>284</v>
      </c>
      <c r="G44" s="71" t="s">
        <v>284</v>
      </c>
      <c r="H44" s="71" t="s">
        <v>284</v>
      </c>
      <c r="I44" s="71" t="s">
        <v>284</v>
      </c>
      <c r="J44" s="71" t="s">
        <v>284</v>
      </c>
      <c r="K44" s="71" t="s">
        <v>284</v>
      </c>
      <c r="L44" s="71" t="s">
        <v>284</v>
      </c>
      <c r="M44" s="71" t="s">
        <v>284</v>
      </c>
      <c r="N44" s="71" t="s">
        <v>284</v>
      </c>
      <c r="O44" s="71" t="s">
        <v>284</v>
      </c>
      <c r="P44" s="71" t="s">
        <v>284</v>
      </c>
      <c r="Q44" s="71" t="s">
        <v>284</v>
      </c>
      <c r="R44" s="71" t="s">
        <v>284</v>
      </c>
      <c r="S44" s="71" t="s">
        <v>284</v>
      </c>
      <c r="T44" s="71" t="s">
        <v>284</v>
      </c>
      <c r="U44" s="71" t="s">
        <v>284</v>
      </c>
      <c r="V44" s="71" t="s">
        <v>284</v>
      </c>
      <c r="W44" s="71" t="s">
        <v>284</v>
      </c>
      <c r="X44" s="71" t="s">
        <v>284</v>
      </c>
      <c r="Y44" s="71" t="s">
        <v>284</v>
      </c>
      <c r="Z44" s="71" t="s">
        <v>284</v>
      </c>
      <c r="AA44" s="71" t="s">
        <v>284</v>
      </c>
      <c r="AB44" s="71" t="s">
        <v>284</v>
      </c>
      <c r="AC44" s="71" t="s">
        <v>284</v>
      </c>
      <c r="AD44" s="71" t="s">
        <v>284</v>
      </c>
      <c r="AE44" s="71" t="s">
        <v>284</v>
      </c>
      <c r="AF44" s="71" t="s">
        <v>284</v>
      </c>
      <c r="AG44" s="71" t="s">
        <v>284</v>
      </c>
      <c r="AH44" s="71" t="s">
        <v>284</v>
      </c>
      <c r="AI44" s="71" t="s">
        <v>284</v>
      </c>
      <c r="AJ44" s="71" t="s">
        <v>284</v>
      </c>
      <c r="AK44" s="71" t="s">
        <v>284</v>
      </c>
      <c r="AL44" s="71" t="s">
        <v>284</v>
      </c>
      <c r="AM44" s="71" t="s">
        <v>284</v>
      </c>
      <c r="AN44" s="71" t="s">
        <v>284</v>
      </c>
      <c r="AO44" s="71" t="s">
        <v>284</v>
      </c>
      <c r="AP44" s="71" t="s">
        <v>284</v>
      </c>
      <c r="AQ44" s="71" t="s">
        <v>284</v>
      </c>
      <c r="AR44" s="71" t="s">
        <v>284</v>
      </c>
      <c r="AS44" s="71" t="s">
        <v>284</v>
      </c>
      <c r="AT44" s="71" t="s">
        <v>284</v>
      </c>
      <c r="AU44" s="71" t="s">
        <v>284</v>
      </c>
      <c r="AV44" s="71" t="s">
        <v>284</v>
      </c>
      <c r="AW44" s="71" t="s">
        <v>284</v>
      </c>
      <c r="AX44" s="71" t="s">
        <v>284</v>
      </c>
      <c r="AY44" s="71" t="s">
        <v>284</v>
      </c>
      <c r="AZ44" s="71" t="s">
        <v>284</v>
      </c>
      <c r="BA44" s="71" t="s">
        <v>284</v>
      </c>
      <c r="BB44" s="71" t="s">
        <v>284</v>
      </c>
      <c r="BC44" s="71" t="s">
        <v>284</v>
      </c>
      <c r="BD44" s="71" t="s">
        <v>284</v>
      </c>
      <c r="BE44" s="71" t="s">
        <v>284</v>
      </c>
      <c r="BF44" s="71" t="s">
        <v>284</v>
      </c>
      <c r="BG44" s="71" t="s">
        <v>284</v>
      </c>
      <c r="BH44" s="71" t="s">
        <v>284</v>
      </c>
    </row>
    <row r="45" spans="1:60">
      <c r="A45" s="2"/>
    </row>
    <row r="46" spans="1:60">
      <c r="A46" s="2"/>
    </row>
  </sheetData>
  <mergeCells count="30">
    <mergeCell ref="A44:C44"/>
    <mergeCell ref="A12:A15"/>
    <mergeCell ref="B12:B15"/>
    <mergeCell ref="C12:C15"/>
    <mergeCell ref="D12:D15"/>
    <mergeCell ref="BH12:BH15"/>
    <mergeCell ref="E13:AC13"/>
    <mergeCell ref="AD13:BB13"/>
    <mergeCell ref="E14:I14"/>
    <mergeCell ref="J14:N14"/>
    <mergeCell ref="O14:S14"/>
    <mergeCell ref="T14:X14"/>
    <mergeCell ref="Y14:AC14"/>
    <mergeCell ref="E12:BB12"/>
    <mergeCell ref="BC12:BG14"/>
    <mergeCell ref="AN14:AR14"/>
    <mergeCell ref="AS14:AW14"/>
    <mergeCell ref="AX14:BB14"/>
    <mergeCell ref="AD14:AH14"/>
    <mergeCell ref="AI14:AM14"/>
    <mergeCell ref="BE1:BG1"/>
    <mergeCell ref="BE2:BH2"/>
    <mergeCell ref="BE3:BH3"/>
    <mergeCell ref="A5:T5"/>
    <mergeCell ref="A4:BH4"/>
    <mergeCell ref="A6:T6"/>
    <mergeCell ref="A7:T7"/>
    <mergeCell ref="A8:T8"/>
    <mergeCell ref="A9:T9"/>
    <mergeCell ref="A10:T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topLeftCell="A13" zoomScale="80" zoomScaleNormal="80" workbookViewId="0">
      <pane xSplit="3" ySplit="5" topLeftCell="D36" activePane="bottomRight" state="frozen"/>
      <selection activeCell="A13" sqref="A13"/>
      <selection pane="topRight" activeCell="D13" sqref="D13"/>
      <selection pane="bottomLeft" activeCell="A18" sqref="A18"/>
      <selection pane="bottomRight" activeCell="R31" sqref="R31"/>
    </sheetView>
  </sheetViews>
  <sheetFormatPr defaultRowHeight="15"/>
  <cols>
    <col min="1" max="1" width="8.5703125" customWidth="1"/>
    <col min="2" max="2" width="47.42578125" customWidth="1"/>
    <col min="3" max="3" width="15.28515625" customWidth="1"/>
    <col min="4" max="4" width="17.42578125" customWidth="1"/>
    <col min="11" max="11" width="10" customWidth="1"/>
    <col min="16" max="16" width="9.7109375" customWidth="1"/>
    <col min="21" max="21" width="9.85546875" customWidth="1"/>
    <col min="25" max="25" width="9.140625" customWidth="1"/>
    <col min="26" max="26" width="9.85546875" customWidth="1"/>
    <col min="27" max="29" width="9.140625" customWidth="1"/>
    <col min="30" max="30" width="13.85546875" customWidth="1"/>
    <col min="32" max="32" width="10.140625" customWidth="1"/>
    <col min="37" max="37" width="10.7109375" customWidth="1"/>
    <col min="42" max="42" width="10.85546875" customWidth="1"/>
    <col min="51" max="55" width="9.140625" customWidth="1"/>
  </cols>
  <sheetData>
    <row r="1" spans="1:56" ht="21" customHeight="1">
      <c r="AZ1" s="362" t="s">
        <v>224</v>
      </c>
      <c r="BA1" s="362"/>
      <c r="BB1" s="362"/>
      <c r="BC1" s="362"/>
    </row>
    <row r="2" spans="1:56" ht="18" customHeight="1">
      <c r="AZ2" s="362" t="s">
        <v>19</v>
      </c>
      <c r="BA2" s="362"/>
      <c r="BB2" s="362"/>
      <c r="BC2" s="362"/>
    </row>
    <row r="3" spans="1:56" ht="15" customHeight="1">
      <c r="AZ3" s="362" t="s">
        <v>20</v>
      </c>
      <c r="BA3" s="362"/>
      <c r="BB3" s="362"/>
      <c r="BC3" s="362"/>
    </row>
    <row r="4" spans="1:56" ht="14.25" customHeight="1">
      <c r="A4" s="347" t="s">
        <v>225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</row>
    <row r="5" spans="1:56" ht="18" customHeight="1">
      <c r="A5" s="347" t="s">
        <v>1136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1:56" ht="18.75" customHeight="1">
      <c r="A6" s="347" t="s">
        <v>307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6" ht="20.25" customHeight="1">
      <c r="A7" s="348" t="s">
        <v>304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</row>
    <row r="8" spans="1:56" ht="1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1:56" ht="18.75" customHeight="1">
      <c r="A9" s="347" t="s">
        <v>1113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1:56" s="17" customFormat="1" ht="20.25" customHeight="1">
      <c r="A10" s="402" t="s">
        <v>22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</row>
    <row r="11" spans="1:56" s="17" customFormat="1" ht="14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</row>
    <row r="12" spans="1:56" ht="14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56" s="54" customFormat="1" ht="36" customHeight="1">
      <c r="A13" s="377" t="s">
        <v>0</v>
      </c>
      <c r="B13" s="377" t="s">
        <v>1</v>
      </c>
      <c r="C13" s="377" t="s">
        <v>2</v>
      </c>
      <c r="D13" s="377" t="s">
        <v>1128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 t="s">
        <v>1118</v>
      </c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137"/>
    </row>
    <row r="14" spans="1:56" s="54" customFormat="1">
      <c r="A14" s="377"/>
      <c r="B14" s="377"/>
      <c r="C14" s="377"/>
      <c r="D14" s="50" t="s">
        <v>6</v>
      </c>
      <c r="E14" s="377" t="s">
        <v>7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50" t="s">
        <v>6</v>
      </c>
      <c r="AE14" s="377" t="s">
        <v>7</v>
      </c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137"/>
    </row>
    <row r="15" spans="1:56" s="54" customFormat="1">
      <c r="A15" s="377"/>
      <c r="B15" s="377"/>
      <c r="C15" s="377"/>
      <c r="D15" s="376" t="s">
        <v>109</v>
      </c>
      <c r="E15" s="377" t="s">
        <v>109</v>
      </c>
      <c r="F15" s="377"/>
      <c r="G15" s="377"/>
      <c r="H15" s="377"/>
      <c r="I15" s="377"/>
      <c r="J15" s="377" t="s">
        <v>110</v>
      </c>
      <c r="K15" s="377"/>
      <c r="L15" s="377"/>
      <c r="M15" s="377"/>
      <c r="N15" s="377"/>
      <c r="O15" s="377" t="s">
        <v>111</v>
      </c>
      <c r="P15" s="377"/>
      <c r="Q15" s="377"/>
      <c r="R15" s="377"/>
      <c r="S15" s="377"/>
      <c r="T15" s="377" t="s">
        <v>226</v>
      </c>
      <c r="U15" s="377"/>
      <c r="V15" s="377"/>
      <c r="W15" s="377"/>
      <c r="X15" s="377"/>
      <c r="Y15" s="377" t="s">
        <v>113</v>
      </c>
      <c r="Z15" s="377"/>
      <c r="AA15" s="377"/>
      <c r="AB15" s="377"/>
      <c r="AC15" s="377"/>
      <c r="AD15" s="376" t="s">
        <v>109</v>
      </c>
      <c r="AE15" s="377" t="s">
        <v>109</v>
      </c>
      <c r="AF15" s="377"/>
      <c r="AG15" s="377"/>
      <c r="AH15" s="377"/>
      <c r="AI15" s="377"/>
      <c r="AJ15" s="377" t="s">
        <v>110</v>
      </c>
      <c r="AK15" s="377"/>
      <c r="AL15" s="377"/>
      <c r="AM15" s="377"/>
      <c r="AN15" s="377"/>
      <c r="AO15" s="377" t="s">
        <v>111</v>
      </c>
      <c r="AP15" s="377"/>
      <c r="AQ15" s="377"/>
      <c r="AR15" s="377"/>
      <c r="AS15" s="377"/>
      <c r="AT15" s="377" t="s">
        <v>112</v>
      </c>
      <c r="AU15" s="377"/>
      <c r="AV15" s="377"/>
      <c r="AW15" s="377"/>
      <c r="AX15" s="377"/>
      <c r="AY15" s="377" t="s">
        <v>113</v>
      </c>
      <c r="AZ15" s="377"/>
      <c r="BA15" s="377"/>
      <c r="BB15" s="377"/>
      <c r="BC15" s="377"/>
    </row>
    <row r="16" spans="1:56" s="54" customFormat="1" ht="129.75" customHeight="1">
      <c r="A16" s="377"/>
      <c r="B16" s="377"/>
      <c r="C16" s="377"/>
      <c r="D16" s="376"/>
      <c r="E16" s="50" t="s">
        <v>227</v>
      </c>
      <c r="F16" s="50" t="s">
        <v>228</v>
      </c>
      <c r="G16" s="50" t="s">
        <v>229</v>
      </c>
      <c r="H16" s="50" t="s">
        <v>230</v>
      </c>
      <c r="I16" s="50" t="s">
        <v>231</v>
      </c>
      <c r="J16" s="50" t="s">
        <v>232</v>
      </c>
      <c r="K16" s="50" t="s">
        <v>228</v>
      </c>
      <c r="L16" s="50" t="s">
        <v>229</v>
      </c>
      <c r="M16" s="50" t="s">
        <v>230</v>
      </c>
      <c r="N16" s="50" t="s">
        <v>231</v>
      </c>
      <c r="O16" s="50" t="s">
        <v>232</v>
      </c>
      <c r="P16" s="50" t="s">
        <v>233</v>
      </c>
      <c r="Q16" s="50" t="s">
        <v>229</v>
      </c>
      <c r="R16" s="50" t="s">
        <v>230</v>
      </c>
      <c r="S16" s="50" t="s">
        <v>231</v>
      </c>
      <c r="T16" s="50" t="s">
        <v>232</v>
      </c>
      <c r="U16" s="50" t="s">
        <v>228</v>
      </c>
      <c r="V16" s="50" t="s">
        <v>229</v>
      </c>
      <c r="W16" s="50" t="s">
        <v>230</v>
      </c>
      <c r="X16" s="50" t="s">
        <v>231</v>
      </c>
      <c r="Y16" s="50" t="s">
        <v>232</v>
      </c>
      <c r="Z16" s="50" t="s">
        <v>228</v>
      </c>
      <c r="AA16" s="50" t="s">
        <v>229</v>
      </c>
      <c r="AB16" s="50" t="s">
        <v>230</v>
      </c>
      <c r="AC16" s="50" t="s">
        <v>231</v>
      </c>
      <c r="AD16" s="376"/>
      <c r="AE16" s="50" t="s">
        <v>232</v>
      </c>
      <c r="AF16" s="50" t="s">
        <v>228</v>
      </c>
      <c r="AG16" s="50" t="s">
        <v>229</v>
      </c>
      <c r="AH16" s="50" t="s">
        <v>230</v>
      </c>
      <c r="AI16" s="50" t="s">
        <v>231</v>
      </c>
      <c r="AJ16" s="50" t="s">
        <v>232</v>
      </c>
      <c r="AK16" s="50" t="s">
        <v>228</v>
      </c>
      <c r="AL16" s="50" t="s">
        <v>229</v>
      </c>
      <c r="AM16" s="50" t="s">
        <v>230</v>
      </c>
      <c r="AN16" s="50" t="s">
        <v>231</v>
      </c>
      <c r="AO16" s="50" t="s">
        <v>232</v>
      </c>
      <c r="AP16" s="50" t="s">
        <v>228</v>
      </c>
      <c r="AQ16" s="50" t="s">
        <v>229</v>
      </c>
      <c r="AR16" s="50" t="s">
        <v>230</v>
      </c>
      <c r="AS16" s="50" t="s">
        <v>231</v>
      </c>
      <c r="AT16" s="50" t="s">
        <v>232</v>
      </c>
      <c r="AU16" s="50" t="s">
        <v>228</v>
      </c>
      <c r="AV16" s="50" t="s">
        <v>229</v>
      </c>
      <c r="AW16" s="50" t="s">
        <v>230</v>
      </c>
      <c r="AX16" s="50" t="s">
        <v>231</v>
      </c>
      <c r="AY16" s="50" t="s">
        <v>232</v>
      </c>
      <c r="AZ16" s="50" t="s">
        <v>228</v>
      </c>
      <c r="BA16" s="50" t="s">
        <v>229</v>
      </c>
      <c r="BB16" s="50" t="s">
        <v>230</v>
      </c>
      <c r="BC16" s="50" t="s">
        <v>231</v>
      </c>
    </row>
    <row r="17" spans="1:55" s="54" customFormat="1">
      <c r="A17" s="50">
        <v>1</v>
      </c>
      <c r="B17" s="50">
        <v>2</v>
      </c>
      <c r="C17" s="50">
        <v>3</v>
      </c>
      <c r="D17" s="50">
        <v>4</v>
      </c>
      <c r="E17" s="50" t="s">
        <v>115</v>
      </c>
      <c r="F17" s="50" t="s">
        <v>116</v>
      </c>
      <c r="G17" s="50" t="s">
        <v>117</v>
      </c>
      <c r="H17" s="50" t="s">
        <v>118</v>
      </c>
      <c r="I17" s="50" t="s">
        <v>119</v>
      </c>
      <c r="J17" s="50" t="s">
        <v>122</v>
      </c>
      <c r="K17" s="50" t="s">
        <v>123</v>
      </c>
      <c r="L17" s="50" t="s">
        <v>124</v>
      </c>
      <c r="M17" s="50" t="s">
        <v>125</v>
      </c>
      <c r="N17" s="50" t="s">
        <v>126</v>
      </c>
      <c r="O17" s="50" t="s">
        <v>129</v>
      </c>
      <c r="P17" s="50" t="s">
        <v>130</v>
      </c>
      <c r="Q17" s="50" t="s">
        <v>131</v>
      </c>
      <c r="R17" s="50" t="s">
        <v>132</v>
      </c>
      <c r="S17" s="50" t="s">
        <v>133</v>
      </c>
      <c r="T17" s="50" t="s">
        <v>136</v>
      </c>
      <c r="U17" s="50" t="s">
        <v>137</v>
      </c>
      <c r="V17" s="50" t="s">
        <v>138</v>
      </c>
      <c r="W17" s="50" t="s">
        <v>139</v>
      </c>
      <c r="X17" s="50" t="s">
        <v>140</v>
      </c>
      <c r="Y17" s="50" t="s">
        <v>143</v>
      </c>
      <c r="Z17" s="50" t="s">
        <v>144</v>
      </c>
      <c r="AA17" s="50" t="s">
        <v>145</v>
      </c>
      <c r="AB17" s="50" t="s">
        <v>146</v>
      </c>
      <c r="AC17" s="50" t="s">
        <v>147</v>
      </c>
      <c r="AD17" s="50">
        <v>6</v>
      </c>
      <c r="AE17" s="50" t="s">
        <v>165</v>
      </c>
      <c r="AF17" s="50" t="s">
        <v>166</v>
      </c>
      <c r="AG17" s="50" t="s">
        <v>167</v>
      </c>
      <c r="AH17" s="50" t="s">
        <v>168</v>
      </c>
      <c r="AI17" s="50" t="s">
        <v>169</v>
      </c>
      <c r="AJ17" s="50" t="s">
        <v>234</v>
      </c>
      <c r="AK17" s="50" t="s">
        <v>235</v>
      </c>
      <c r="AL17" s="50" t="s">
        <v>236</v>
      </c>
      <c r="AM17" s="50" t="s">
        <v>237</v>
      </c>
      <c r="AN17" s="50" t="s">
        <v>238</v>
      </c>
      <c r="AO17" s="50" t="s">
        <v>239</v>
      </c>
      <c r="AP17" s="50" t="s">
        <v>240</v>
      </c>
      <c r="AQ17" s="50" t="s">
        <v>241</v>
      </c>
      <c r="AR17" s="50" t="s">
        <v>242</v>
      </c>
      <c r="AS17" s="50" t="s">
        <v>243</v>
      </c>
      <c r="AT17" s="50" t="s">
        <v>244</v>
      </c>
      <c r="AU17" s="50" t="s">
        <v>245</v>
      </c>
      <c r="AV17" s="50" t="s">
        <v>246</v>
      </c>
      <c r="AW17" s="50" t="s">
        <v>247</v>
      </c>
      <c r="AX17" s="50" t="s">
        <v>248</v>
      </c>
      <c r="AY17" s="50" t="s">
        <v>249</v>
      </c>
      <c r="AZ17" s="50" t="s">
        <v>250</v>
      </c>
      <c r="BA17" s="50" t="s">
        <v>251</v>
      </c>
      <c r="BB17" s="50" t="s">
        <v>252</v>
      </c>
      <c r="BC17" s="50" t="s">
        <v>253</v>
      </c>
    </row>
    <row r="18" spans="1:55" s="54" customFormat="1" ht="28.5">
      <c r="A18" s="83" t="s">
        <v>384</v>
      </c>
      <c r="B18" s="84" t="s">
        <v>31</v>
      </c>
      <c r="C18" s="100" t="s">
        <v>385</v>
      </c>
      <c r="D18" s="132">
        <f>D19+D20+D21+D22+D23+D24</f>
        <v>13.34</v>
      </c>
      <c r="E18" s="133">
        <f>J18+O18+T18+Y18</f>
        <v>6.899</v>
      </c>
      <c r="F18" s="133">
        <f t="shared" ref="F18:I18" si="0">K18+P18+U18+Z18</f>
        <v>0.11</v>
      </c>
      <c r="G18" s="133">
        <f t="shared" si="0"/>
        <v>0</v>
      </c>
      <c r="H18" s="133">
        <f t="shared" si="0"/>
        <v>6.6909999999999998</v>
      </c>
      <c r="I18" s="133">
        <f t="shared" si="0"/>
        <v>9.8000000000000004E-2</v>
      </c>
      <c r="J18" s="134">
        <f>K18+L18+M18+N18</f>
        <v>1.5450000000000002</v>
      </c>
      <c r="K18" s="135">
        <f>K19+K20+K21+K22+K23+K24</f>
        <v>0</v>
      </c>
      <c r="L18" s="135">
        <f t="shared" ref="L18:N18" si="1">L19+L20+L21+L22+L23+L24</f>
        <v>0</v>
      </c>
      <c r="M18" s="135">
        <f t="shared" si="1"/>
        <v>1.5450000000000002</v>
      </c>
      <c r="N18" s="135">
        <f t="shared" si="1"/>
        <v>0</v>
      </c>
      <c r="O18" s="134">
        <f>P18+Q18+R18+S18</f>
        <v>5.3540000000000001</v>
      </c>
      <c r="P18" s="135">
        <f>P19+P20+P21+P22+P23+P24</f>
        <v>0.11</v>
      </c>
      <c r="Q18" s="135">
        <f t="shared" ref="Q18" si="2">Q19+Q20+Q21+Q22+Q23+Q24</f>
        <v>0</v>
      </c>
      <c r="R18" s="135">
        <f t="shared" ref="R18" si="3">R19+R20+R21+R22+R23+R24</f>
        <v>5.1459999999999999</v>
      </c>
      <c r="S18" s="135">
        <f t="shared" ref="S18" si="4">S19+S20+S21+S22+S23+S24</f>
        <v>9.8000000000000004E-2</v>
      </c>
      <c r="T18" s="134">
        <f>U18+V18+W18+X18</f>
        <v>0</v>
      </c>
      <c r="U18" s="135">
        <f>U19+U20+U21+U22+U23+U24</f>
        <v>0</v>
      </c>
      <c r="V18" s="135">
        <f t="shared" ref="V18" si="5">V19+V20+V21+V22+V23+V24</f>
        <v>0</v>
      </c>
      <c r="W18" s="135">
        <f t="shared" ref="W18" si="6">W19+W20+W21+W22+W23+W24</f>
        <v>0</v>
      </c>
      <c r="X18" s="135">
        <f t="shared" ref="X18" si="7">X19+X20+X21+X22+X23+X24</f>
        <v>0</v>
      </c>
      <c r="Y18" s="134">
        <f>Z18+AA18+AB18+AC18</f>
        <v>0</v>
      </c>
      <c r="Z18" s="135">
        <f>Z19+Z20+Z21+Z22+Z23+Z24</f>
        <v>0</v>
      </c>
      <c r="AA18" s="135">
        <f t="shared" ref="AA18" si="8">AA19+AA20+AA21+AA22+AA23+AA24</f>
        <v>0</v>
      </c>
      <c r="AB18" s="135">
        <f t="shared" ref="AB18" si="9">AB19+AB20+AB21+AB22+AB23+AB24</f>
        <v>0</v>
      </c>
      <c r="AC18" s="135">
        <f t="shared" ref="AC18" si="10">AC19+AC20+AC21+AC22+AC23+AC24</f>
        <v>0</v>
      </c>
      <c r="AD18" s="132">
        <f>AD19+AD20+AD21+AD22+AD23+AD24</f>
        <v>11.509500000000001</v>
      </c>
      <c r="AE18" s="133">
        <f>AJ18+AO18+AT18+AY18</f>
        <v>0.48359999999999997</v>
      </c>
      <c r="AF18" s="133">
        <f t="shared" ref="AF18:AF19" si="11">AK18+AP18+AU18+AZ18</f>
        <v>0.44879999999999998</v>
      </c>
      <c r="AG18" s="133">
        <f t="shared" ref="AG18:AG44" si="12">AL18+AQ18+AV18+BA18</f>
        <v>0</v>
      </c>
      <c r="AH18" s="133">
        <f t="shared" ref="AH18:AH44" si="13">AM18+AR18+AW18+BB18</f>
        <v>1.2E-2</v>
      </c>
      <c r="AI18" s="133">
        <f t="shared" ref="AI18:AI44" si="14">AN18+AS18+AX18+BC18</f>
        <v>2.2800000000000001E-2</v>
      </c>
      <c r="AJ18" s="134">
        <f>AK18+AL18+AM18+AN18</f>
        <v>0.48359999999999997</v>
      </c>
      <c r="AK18" s="135">
        <f>AK19+AK20+AK21+AK22+AK23+AK24</f>
        <v>0.44879999999999998</v>
      </c>
      <c r="AL18" s="135">
        <f t="shared" ref="AL18" si="15">AL19+AL20+AL21+AL22+AL23+AL24</f>
        <v>0</v>
      </c>
      <c r="AM18" s="135">
        <f t="shared" ref="AM18" si="16">AM19+AM20+AM21+AM22+AM23+AM24</f>
        <v>1.2E-2</v>
      </c>
      <c r="AN18" s="135">
        <f t="shared" ref="AN18" si="17">AN19+AN20+AN21+AN22+AN23+AN24</f>
        <v>2.2800000000000001E-2</v>
      </c>
      <c r="AO18" s="134">
        <f>AP18+AQ18+AR18+AS18</f>
        <v>0</v>
      </c>
      <c r="AP18" s="135">
        <f>AP19+AP20+AP21+AP22+AP23+AP24</f>
        <v>0</v>
      </c>
      <c r="AQ18" s="135">
        <f t="shared" ref="AQ18" si="18">AQ19+AQ20+AQ21+AQ22+AQ23+AQ24</f>
        <v>0</v>
      </c>
      <c r="AR18" s="135">
        <f t="shared" ref="AR18" si="19">AR19+AR20+AR21+AR22+AR23+AR24</f>
        <v>0</v>
      </c>
      <c r="AS18" s="135">
        <f t="shared" ref="AS18" si="20">AS19+AS20+AS21+AS22+AS23+AS24</f>
        <v>0</v>
      </c>
      <c r="AT18" s="134">
        <f>AU18+AV18+AW18+AX18</f>
        <v>0</v>
      </c>
      <c r="AU18" s="135">
        <f>AU19+AU20+AU21+AU22+AU23+AU24</f>
        <v>0</v>
      </c>
      <c r="AV18" s="135">
        <f t="shared" ref="AV18" si="21">AV19+AV20+AV21+AV22+AV23+AV24</f>
        <v>0</v>
      </c>
      <c r="AW18" s="135">
        <f t="shared" ref="AW18" si="22">AW19+AW20+AW21+AW22+AW23+AW24</f>
        <v>0</v>
      </c>
      <c r="AX18" s="135">
        <f t="shared" ref="AX18" si="23">AX19+AX20+AX21+AX22+AX23+AX24</f>
        <v>0</v>
      </c>
      <c r="AY18" s="134">
        <f>AZ18+BA18+BB18+BC18</f>
        <v>0</v>
      </c>
      <c r="AZ18" s="135">
        <f>AZ19+AZ20+AZ21+AZ22+AZ23+AZ24</f>
        <v>0</v>
      </c>
      <c r="BA18" s="135">
        <f t="shared" ref="BA18" si="24">BA19+BA20+BA21+BA22+BA23+BA24</f>
        <v>0</v>
      </c>
      <c r="BB18" s="135">
        <f t="shared" ref="BB18" si="25">BB19+BB20+BB21+BB22+BB23+BB24</f>
        <v>0</v>
      </c>
      <c r="BC18" s="135">
        <f t="shared" ref="BC18" si="26">BC19+BC20+BC21+BC22+BC23+BC24</f>
        <v>0</v>
      </c>
    </row>
    <row r="19" spans="1:55" s="54" customFormat="1" ht="15.75">
      <c r="A19" s="85" t="s">
        <v>386</v>
      </c>
      <c r="B19" s="86" t="s">
        <v>387</v>
      </c>
      <c r="C19" s="101" t="s">
        <v>385</v>
      </c>
      <c r="D19" s="132">
        <v>0</v>
      </c>
      <c r="E19" s="133">
        <f t="shared" ref="E19:E44" si="27">J19+O19+T19+Y19</f>
        <v>0</v>
      </c>
      <c r="F19" s="133">
        <f t="shared" ref="F19:F44" si="28">K19+P19+U19+Z19</f>
        <v>0</v>
      </c>
      <c r="G19" s="133">
        <f t="shared" ref="G19:G44" si="29">L19+Q19+V19+AA19</f>
        <v>0</v>
      </c>
      <c r="H19" s="133">
        <f t="shared" ref="H19:H44" si="30">M19+R19+W19+AB19</f>
        <v>0</v>
      </c>
      <c r="I19" s="133">
        <f t="shared" ref="I19:I44" si="31">N19+S19+X19+AC19</f>
        <v>0</v>
      </c>
      <c r="J19" s="134">
        <f t="shared" ref="J19:J44" si="32">K19+L19+M19+N19</f>
        <v>0</v>
      </c>
      <c r="K19" s="135">
        <v>0</v>
      </c>
      <c r="L19" s="135">
        <v>0</v>
      </c>
      <c r="M19" s="135">
        <v>0</v>
      </c>
      <c r="N19" s="135">
        <v>0</v>
      </c>
      <c r="O19" s="134">
        <f t="shared" ref="O19:O44" si="33">P19+Q19+R19+S19</f>
        <v>0</v>
      </c>
      <c r="P19" s="135">
        <v>0</v>
      </c>
      <c r="Q19" s="135">
        <v>0</v>
      </c>
      <c r="R19" s="135">
        <v>0</v>
      </c>
      <c r="S19" s="135">
        <v>0</v>
      </c>
      <c r="T19" s="134">
        <f t="shared" ref="T19:T44" si="34">U19+V19+W19+X19</f>
        <v>0</v>
      </c>
      <c r="U19" s="135">
        <v>0</v>
      </c>
      <c r="V19" s="135">
        <v>0</v>
      </c>
      <c r="W19" s="135">
        <v>0</v>
      </c>
      <c r="X19" s="135">
        <v>0</v>
      </c>
      <c r="Y19" s="134">
        <f t="shared" ref="Y19:Y44" si="35">Z19+AA19+AB19+AC19</f>
        <v>0</v>
      </c>
      <c r="Z19" s="135">
        <v>0</v>
      </c>
      <c r="AA19" s="135">
        <v>0</v>
      </c>
      <c r="AB19" s="135">
        <v>0</v>
      </c>
      <c r="AC19" s="135">
        <v>0</v>
      </c>
      <c r="AD19" s="132">
        <v>0</v>
      </c>
      <c r="AE19" s="133">
        <f t="shared" ref="AE19:AE44" si="36">AJ19+AO19+AT19+AY19</f>
        <v>0</v>
      </c>
      <c r="AF19" s="133">
        <f t="shared" si="11"/>
        <v>0</v>
      </c>
      <c r="AG19" s="133">
        <f t="shared" si="12"/>
        <v>0</v>
      </c>
      <c r="AH19" s="133">
        <f t="shared" si="13"/>
        <v>0</v>
      </c>
      <c r="AI19" s="133">
        <f t="shared" si="14"/>
        <v>0</v>
      </c>
      <c r="AJ19" s="134">
        <f t="shared" ref="AJ19:AJ44" si="37">AK19+AL19+AM19+AN19</f>
        <v>0</v>
      </c>
      <c r="AK19" s="135">
        <v>0</v>
      </c>
      <c r="AL19" s="135">
        <v>0</v>
      </c>
      <c r="AM19" s="135">
        <v>0</v>
      </c>
      <c r="AN19" s="135">
        <v>0</v>
      </c>
      <c r="AO19" s="134">
        <f t="shared" ref="AO19:AO44" si="38">AP19+AQ19+AR19+AS19</f>
        <v>0</v>
      </c>
      <c r="AP19" s="135">
        <v>0</v>
      </c>
      <c r="AQ19" s="135">
        <v>0</v>
      </c>
      <c r="AR19" s="135">
        <v>0</v>
      </c>
      <c r="AS19" s="135">
        <v>0</v>
      </c>
      <c r="AT19" s="134">
        <f t="shared" ref="AT19:AT44" si="39">AU19+AV19+AW19+AX19</f>
        <v>0</v>
      </c>
      <c r="AU19" s="135">
        <v>0</v>
      </c>
      <c r="AV19" s="135">
        <v>0</v>
      </c>
      <c r="AW19" s="135">
        <v>0</v>
      </c>
      <c r="AX19" s="135">
        <v>0</v>
      </c>
      <c r="AY19" s="134">
        <f t="shared" ref="AY19:AY44" si="40">AZ19+BA19+BB19+BC19</f>
        <v>0</v>
      </c>
      <c r="AZ19" s="135">
        <v>0</v>
      </c>
      <c r="BA19" s="135">
        <v>0</v>
      </c>
      <c r="BB19" s="135">
        <v>0</v>
      </c>
      <c r="BC19" s="135">
        <v>0</v>
      </c>
    </row>
    <row r="20" spans="1:55" s="54" customFormat="1" ht="30">
      <c r="A20" s="87" t="s">
        <v>388</v>
      </c>
      <c r="B20" s="88" t="s">
        <v>389</v>
      </c>
      <c r="C20" s="101" t="s">
        <v>385</v>
      </c>
      <c r="D20" s="132">
        <f>D26</f>
        <v>9.5039999999999996</v>
      </c>
      <c r="E20" s="133">
        <f t="shared" si="27"/>
        <v>4.7629999999999999</v>
      </c>
      <c r="F20" s="133">
        <f>K20+P20+U20+Z20</f>
        <v>0.11</v>
      </c>
      <c r="G20" s="133">
        <f t="shared" si="29"/>
        <v>0</v>
      </c>
      <c r="H20" s="133">
        <f t="shared" si="30"/>
        <v>4.5720000000000001</v>
      </c>
      <c r="I20" s="133">
        <f t="shared" si="31"/>
        <v>8.1000000000000003E-2</v>
      </c>
      <c r="J20" s="134">
        <f t="shared" si="32"/>
        <v>1.4550000000000001</v>
      </c>
      <c r="K20" s="135">
        <f>K26</f>
        <v>0</v>
      </c>
      <c r="L20" s="135">
        <f t="shared" ref="L20:N20" si="41">L26</f>
        <v>0</v>
      </c>
      <c r="M20" s="135">
        <f t="shared" si="41"/>
        <v>1.4550000000000001</v>
      </c>
      <c r="N20" s="135">
        <f t="shared" si="41"/>
        <v>0</v>
      </c>
      <c r="O20" s="134">
        <f t="shared" si="33"/>
        <v>3.3079999999999998</v>
      </c>
      <c r="P20" s="135">
        <f>P26</f>
        <v>0.11</v>
      </c>
      <c r="Q20" s="135">
        <f t="shared" ref="Q20:S20" si="42">Q26</f>
        <v>0</v>
      </c>
      <c r="R20" s="135">
        <f t="shared" si="42"/>
        <v>3.117</v>
      </c>
      <c r="S20" s="135">
        <f t="shared" si="42"/>
        <v>8.1000000000000003E-2</v>
      </c>
      <c r="T20" s="134">
        <f t="shared" si="34"/>
        <v>0</v>
      </c>
      <c r="U20" s="135">
        <f>U26</f>
        <v>0</v>
      </c>
      <c r="V20" s="135">
        <f t="shared" ref="V20:X20" si="43">V26</f>
        <v>0</v>
      </c>
      <c r="W20" s="135">
        <f t="shared" si="43"/>
        <v>0</v>
      </c>
      <c r="X20" s="135">
        <f t="shared" si="43"/>
        <v>0</v>
      </c>
      <c r="Y20" s="134">
        <f t="shared" si="35"/>
        <v>0</v>
      </c>
      <c r="Z20" s="135">
        <f>Z26</f>
        <v>0</v>
      </c>
      <c r="AA20" s="135">
        <f t="shared" ref="AA20:AC20" si="44">AA26</f>
        <v>0</v>
      </c>
      <c r="AB20" s="135">
        <f t="shared" si="44"/>
        <v>0</v>
      </c>
      <c r="AC20" s="135">
        <f t="shared" si="44"/>
        <v>0</v>
      </c>
      <c r="AD20" s="132">
        <f>AD26</f>
        <v>8.182500000000001</v>
      </c>
      <c r="AE20" s="133">
        <f t="shared" si="36"/>
        <v>0.23330000000000001</v>
      </c>
      <c r="AF20" s="133">
        <f>AK20+AP20+AU20+AZ20</f>
        <v>0.19850000000000001</v>
      </c>
      <c r="AG20" s="133">
        <f t="shared" si="12"/>
        <v>0</v>
      </c>
      <c r="AH20" s="133">
        <f t="shared" si="13"/>
        <v>1.2E-2</v>
      </c>
      <c r="AI20" s="133">
        <f t="shared" si="14"/>
        <v>2.2800000000000001E-2</v>
      </c>
      <c r="AJ20" s="134">
        <f t="shared" si="37"/>
        <v>0.23330000000000001</v>
      </c>
      <c r="AK20" s="135">
        <f>AK26</f>
        <v>0.19850000000000001</v>
      </c>
      <c r="AL20" s="135">
        <f t="shared" ref="AL20:AN20" si="45">AL26</f>
        <v>0</v>
      </c>
      <c r="AM20" s="135">
        <f t="shared" si="45"/>
        <v>1.2E-2</v>
      </c>
      <c r="AN20" s="135">
        <f t="shared" si="45"/>
        <v>2.2800000000000001E-2</v>
      </c>
      <c r="AO20" s="134">
        <f t="shared" si="38"/>
        <v>0</v>
      </c>
      <c r="AP20" s="135">
        <f>AP26</f>
        <v>0</v>
      </c>
      <c r="AQ20" s="135">
        <f t="shared" ref="AQ20:AS20" si="46">AQ26</f>
        <v>0</v>
      </c>
      <c r="AR20" s="135">
        <f t="shared" si="46"/>
        <v>0</v>
      </c>
      <c r="AS20" s="135">
        <f t="shared" si="46"/>
        <v>0</v>
      </c>
      <c r="AT20" s="134">
        <f t="shared" si="39"/>
        <v>0</v>
      </c>
      <c r="AU20" s="135">
        <f>AU26</f>
        <v>0</v>
      </c>
      <c r="AV20" s="135">
        <f t="shared" ref="AV20:AX20" si="47">AV26</f>
        <v>0</v>
      </c>
      <c r="AW20" s="135">
        <f t="shared" si="47"/>
        <v>0</v>
      </c>
      <c r="AX20" s="135">
        <f t="shared" si="47"/>
        <v>0</v>
      </c>
      <c r="AY20" s="134">
        <f t="shared" si="40"/>
        <v>0</v>
      </c>
      <c r="AZ20" s="135">
        <f>AZ26</f>
        <v>0</v>
      </c>
      <c r="BA20" s="135">
        <f t="shared" ref="BA20:BC20" si="48">BA26</f>
        <v>0</v>
      </c>
      <c r="BB20" s="135">
        <f t="shared" si="48"/>
        <v>0</v>
      </c>
      <c r="BC20" s="135">
        <f t="shared" si="48"/>
        <v>0</v>
      </c>
    </row>
    <row r="21" spans="1:55" s="54" customFormat="1" ht="40.5" customHeight="1">
      <c r="A21" s="87" t="s">
        <v>390</v>
      </c>
      <c r="B21" s="88" t="s">
        <v>391</v>
      </c>
      <c r="C21" s="101" t="s">
        <v>385</v>
      </c>
      <c r="D21" s="132">
        <v>0</v>
      </c>
      <c r="E21" s="133">
        <f t="shared" si="27"/>
        <v>0</v>
      </c>
      <c r="F21" s="133">
        <f t="shared" si="28"/>
        <v>0</v>
      </c>
      <c r="G21" s="133">
        <f t="shared" si="29"/>
        <v>0</v>
      </c>
      <c r="H21" s="133">
        <f t="shared" si="30"/>
        <v>0</v>
      </c>
      <c r="I21" s="133">
        <f t="shared" si="31"/>
        <v>0</v>
      </c>
      <c r="J21" s="134">
        <f t="shared" si="32"/>
        <v>0</v>
      </c>
      <c r="K21" s="138">
        <v>0</v>
      </c>
      <c r="L21" s="138">
        <v>0</v>
      </c>
      <c r="M21" s="138">
        <v>0</v>
      </c>
      <c r="N21" s="138">
        <v>0</v>
      </c>
      <c r="O21" s="134">
        <f t="shared" si="33"/>
        <v>0</v>
      </c>
      <c r="P21" s="135">
        <v>0</v>
      </c>
      <c r="Q21" s="135">
        <v>0</v>
      </c>
      <c r="R21" s="135">
        <v>0</v>
      </c>
      <c r="S21" s="135">
        <v>0</v>
      </c>
      <c r="T21" s="134">
        <f t="shared" si="34"/>
        <v>0</v>
      </c>
      <c r="U21" s="135">
        <v>0</v>
      </c>
      <c r="V21" s="135">
        <v>0</v>
      </c>
      <c r="W21" s="135">
        <v>0</v>
      </c>
      <c r="X21" s="135">
        <v>0</v>
      </c>
      <c r="Y21" s="134">
        <f t="shared" si="35"/>
        <v>0</v>
      </c>
      <c r="Z21" s="135">
        <v>0</v>
      </c>
      <c r="AA21" s="135">
        <v>0</v>
      </c>
      <c r="AB21" s="135">
        <v>0</v>
      </c>
      <c r="AC21" s="135">
        <v>0</v>
      </c>
      <c r="AD21" s="132">
        <v>0</v>
      </c>
      <c r="AE21" s="133">
        <f t="shared" si="36"/>
        <v>0</v>
      </c>
      <c r="AF21" s="133">
        <f t="shared" ref="AF21:AF44" si="49">AK21+AP21+AU21+AZ21</f>
        <v>0</v>
      </c>
      <c r="AG21" s="133">
        <f t="shared" si="12"/>
        <v>0</v>
      </c>
      <c r="AH21" s="133">
        <f t="shared" si="13"/>
        <v>0</v>
      </c>
      <c r="AI21" s="133">
        <f t="shared" si="14"/>
        <v>0</v>
      </c>
      <c r="AJ21" s="134">
        <f t="shared" si="37"/>
        <v>0</v>
      </c>
      <c r="AK21" s="135">
        <v>0</v>
      </c>
      <c r="AL21" s="135">
        <v>0</v>
      </c>
      <c r="AM21" s="135">
        <v>0</v>
      </c>
      <c r="AN21" s="135">
        <v>0</v>
      </c>
      <c r="AO21" s="134">
        <f t="shared" si="38"/>
        <v>0</v>
      </c>
      <c r="AP21" s="135">
        <v>0</v>
      </c>
      <c r="AQ21" s="135">
        <v>0</v>
      </c>
      <c r="AR21" s="135">
        <v>0</v>
      </c>
      <c r="AS21" s="135">
        <v>0</v>
      </c>
      <c r="AT21" s="134">
        <f t="shared" si="39"/>
        <v>0</v>
      </c>
      <c r="AU21" s="135">
        <v>0</v>
      </c>
      <c r="AV21" s="135">
        <v>0</v>
      </c>
      <c r="AW21" s="135">
        <v>0</v>
      </c>
      <c r="AX21" s="135">
        <v>0</v>
      </c>
      <c r="AY21" s="134">
        <f t="shared" si="40"/>
        <v>0</v>
      </c>
      <c r="AZ21" s="135">
        <v>0</v>
      </c>
      <c r="BA21" s="135">
        <v>0</v>
      </c>
      <c r="BB21" s="135">
        <v>0</v>
      </c>
      <c r="BC21" s="135">
        <v>0</v>
      </c>
    </row>
    <row r="22" spans="1:55" s="54" customFormat="1" ht="30">
      <c r="A22" s="87" t="s">
        <v>392</v>
      </c>
      <c r="B22" s="86" t="s">
        <v>393</v>
      </c>
      <c r="C22" s="101" t="s">
        <v>385</v>
      </c>
      <c r="D22" s="132">
        <f>D40</f>
        <v>3.8360000000000003</v>
      </c>
      <c r="E22" s="133">
        <f t="shared" si="27"/>
        <v>2.1359999999999997</v>
      </c>
      <c r="F22" s="133">
        <f t="shared" si="28"/>
        <v>0</v>
      </c>
      <c r="G22" s="133">
        <f t="shared" si="29"/>
        <v>0</v>
      </c>
      <c r="H22" s="133">
        <f t="shared" si="30"/>
        <v>2.1189999999999998</v>
      </c>
      <c r="I22" s="133">
        <f t="shared" si="31"/>
        <v>1.7000000000000001E-2</v>
      </c>
      <c r="J22" s="134">
        <f t="shared" si="32"/>
        <v>0.09</v>
      </c>
      <c r="K22" s="138">
        <f>K40</f>
        <v>0</v>
      </c>
      <c r="L22" s="138">
        <f t="shared" ref="L22:N22" si="50">L40</f>
        <v>0</v>
      </c>
      <c r="M22" s="138">
        <f t="shared" si="50"/>
        <v>0.09</v>
      </c>
      <c r="N22" s="138">
        <f t="shared" si="50"/>
        <v>0</v>
      </c>
      <c r="O22" s="134">
        <f t="shared" si="33"/>
        <v>2.0459999999999998</v>
      </c>
      <c r="P22" s="135">
        <f>P40</f>
        <v>0</v>
      </c>
      <c r="Q22" s="135">
        <f t="shared" ref="Q22:S22" si="51">Q40</f>
        <v>0</v>
      </c>
      <c r="R22" s="135">
        <f t="shared" si="51"/>
        <v>2.0289999999999999</v>
      </c>
      <c r="S22" s="135">
        <f t="shared" si="51"/>
        <v>1.7000000000000001E-2</v>
      </c>
      <c r="T22" s="134">
        <f t="shared" si="34"/>
        <v>0</v>
      </c>
      <c r="U22" s="135">
        <f>U40</f>
        <v>0</v>
      </c>
      <c r="V22" s="135">
        <f t="shared" ref="V22:X22" si="52">V40</f>
        <v>0</v>
      </c>
      <c r="W22" s="135">
        <f t="shared" si="52"/>
        <v>0</v>
      </c>
      <c r="X22" s="135">
        <f t="shared" si="52"/>
        <v>0</v>
      </c>
      <c r="Y22" s="134">
        <f t="shared" si="35"/>
        <v>0</v>
      </c>
      <c r="Z22" s="135">
        <f>Z40</f>
        <v>0</v>
      </c>
      <c r="AA22" s="135">
        <f t="shared" ref="AA22:AC22" si="53">AA40</f>
        <v>0</v>
      </c>
      <c r="AB22" s="135">
        <f t="shared" si="53"/>
        <v>0</v>
      </c>
      <c r="AC22" s="135">
        <f t="shared" si="53"/>
        <v>0</v>
      </c>
      <c r="AD22" s="132">
        <f>AD40</f>
        <v>3.327</v>
      </c>
      <c r="AE22" s="133">
        <f t="shared" si="36"/>
        <v>0.25029999999999997</v>
      </c>
      <c r="AF22" s="133">
        <f t="shared" si="49"/>
        <v>0.25029999999999997</v>
      </c>
      <c r="AG22" s="133">
        <f t="shared" si="12"/>
        <v>0</v>
      </c>
      <c r="AH22" s="133">
        <f t="shared" si="13"/>
        <v>0</v>
      </c>
      <c r="AI22" s="133">
        <f t="shared" si="14"/>
        <v>0</v>
      </c>
      <c r="AJ22" s="134">
        <f t="shared" si="37"/>
        <v>0.25029999999999997</v>
      </c>
      <c r="AK22" s="135">
        <f>AK40</f>
        <v>0.25029999999999997</v>
      </c>
      <c r="AL22" s="135">
        <f t="shared" ref="AL22:AN22" si="54">AL40</f>
        <v>0</v>
      </c>
      <c r="AM22" s="135">
        <f t="shared" si="54"/>
        <v>0</v>
      </c>
      <c r="AN22" s="135">
        <f t="shared" si="54"/>
        <v>0</v>
      </c>
      <c r="AO22" s="134">
        <f t="shared" si="38"/>
        <v>0</v>
      </c>
      <c r="AP22" s="135">
        <f>AP40</f>
        <v>0</v>
      </c>
      <c r="AQ22" s="135">
        <f t="shared" ref="AQ22:AS22" si="55">AQ40</f>
        <v>0</v>
      </c>
      <c r="AR22" s="135">
        <f t="shared" si="55"/>
        <v>0</v>
      </c>
      <c r="AS22" s="135">
        <f t="shared" si="55"/>
        <v>0</v>
      </c>
      <c r="AT22" s="134">
        <f t="shared" si="39"/>
        <v>0</v>
      </c>
      <c r="AU22" s="135">
        <f>AU40</f>
        <v>0</v>
      </c>
      <c r="AV22" s="135">
        <f t="shared" ref="AV22:AX22" si="56">AV40</f>
        <v>0</v>
      </c>
      <c r="AW22" s="135">
        <f t="shared" si="56"/>
        <v>0</v>
      </c>
      <c r="AX22" s="135">
        <f t="shared" si="56"/>
        <v>0</v>
      </c>
      <c r="AY22" s="134">
        <f t="shared" si="40"/>
        <v>0</v>
      </c>
      <c r="AZ22" s="135">
        <f>AZ40</f>
        <v>0</v>
      </c>
      <c r="BA22" s="135">
        <f t="shared" ref="BA22:BC22" si="57">BA40</f>
        <v>0</v>
      </c>
      <c r="BB22" s="135">
        <f t="shared" si="57"/>
        <v>0</v>
      </c>
      <c r="BC22" s="135">
        <f t="shared" si="57"/>
        <v>0</v>
      </c>
    </row>
    <row r="23" spans="1:55" s="54" customFormat="1" ht="30">
      <c r="A23" s="87" t="s">
        <v>394</v>
      </c>
      <c r="B23" s="86" t="s">
        <v>395</v>
      </c>
      <c r="C23" s="101" t="s">
        <v>385</v>
      </c>
      <c r="D23" s="132">
        <v>0</v>
      </c>
      <c r="E23" s="133">
        <f t="shared" si="27"/>
        <v>0</v>
      </c>
      <c r="F23" s="133">
        <f t="shared" si="28"/>
        <v>0</v>
      </c>
      <c r="G23" s="133">
        <f t="shared" si="29"/>
        <v>0</v>
      </c>
      <c r="H23" s="133">
        <f t="shared" si="30"/>
        <v>0</v>
      </c>
      <c r="I23" s="133">
        <f t="shared" si="31"/>
        <v>0</v>
      </c>
      <c r="J23" s="134">
        <f t="shared" si="32"/>
        <v>0</v>
      </c>
      <c r="K23" s="138">
        <v>0</v>
      </c>
      <c r="L23" s="138">
        <v>0</v>
      </c>
      <c r="M23" s="138">
        <v>0</v>
      </c>
      <c r="N23" s="138">
        <v>0</v>
      </c>
      <c r="O23" s="134">
        <f t="shared" si="33"/>
        <v>0</v>
      </c>
      <c r="P23" s="135">
        <v>0</v>
      </c>
      <c r="Q23" s="135">
        <v>0</v>
      </c>
      <c r="R23" s="135">
        <v>0</v>
      </c>
      <c r="S23" s="135">
        <v>0</v>
      </c>
      <c r="T23" s="134">
        <f t="shared" si="34"/>
        <v>0</v>
      </c>
      <c r="U23" s="135">
        <v>0</v>
      </c>
      <c r="V23" s="135">
        <v>0</v>
      </c>
      <c r="W23" s="135">
        <v>0</v>
      </c>
      <c r="X23" s="135">
        <v>0</v>
      </c>
      <c r="Y23" s="134">
        <f t="shared" si="35"/>
        <v>0</v>
      </c>
      <c r="Z23" s="135">
        <v>0</v>
      </c>
      <c r="AA23" s="135">
        <v>0</v>
      </c>
      <c r="AB23" s="135">
        <v>0</v>
      </c>
      <c r="AC23" s="135">
        <v>0</v>
      </c>
      <c r="AD23" s="132">
        <v>0</v>
      </c>
      <c r="AE23" s="133">
        <f t="shared" si="36"/>
        <v>0</v>
      </c>
      <c r="AF23" s="133">
        <f t="shared" si="49"/>
        <v>0</v>
      </c>
      <c r="AG23" s="133">
        <f t="shared" si="12"/>
        <v>0</v>
      </c>
      <c r="AH23" s="133">
        <f t="shared" si="13"/>
        <v>0</v>
      </c>
      <c r="AI23" s="133">
        <f t="shared" si="14"/>
        <v>0</v>
      </c>
      <c r="AJ23" s="134">
        <f t="shared" si="37"/>
        <v>0</v>
      </c>
      <c r="AK23" s="135">
        <v>0</v>
      </c>
      <c r="AL23" s="135">
        <v>0</v>
      </c>
      <c r="AM23" s="135">
        <v>0</v>
      </c>
      <c r="AN23" s="135">
        <v>0</v>
      </c>
      <c r="AO23" s="134">
        <f t="shared" si="38"/>
        <v>0</v>
      </c>
      <c r="AP23" s="135">
        <v>0</v>
      </c>
      <c r="AQ23" s="135">
        <v>0</v>
      </c>
      <c r="AR23" s="135">
        <v>0</v>
      </c>
      <c r="AS23" s="135">
        <v>0</v>
      </c>
      <c r="AT23" s="134">
        <f t="shared" si="39"/>
        <v>0</v>
      </c>
      <c r="AU23" s="135">
        <v>0</v>
      </c>
      <c r="AV23" s="135">
        <v>0</v>
      </c>
      <c r="AW23" s="135">
        <v>0</v>
      </c>
      <c r="AX23" s="135">
        <v>0</v>
      </c>
      <c r="AY23" s="134">
        <f t="shared" si="40"/>
        <v>0</v>
      </c>
      <c r="AZ23" s="135">
        <v>0</v>
      </c>
      <c r="BA23" s="135">
        <v>0</v>
      </c>
      <c r="BB23" s="135">
        <v>0</v>
      </c>
      <c r="BC23" s="135">
        <v>0</v>
      </c>
    </row>
    <row r="24" spans="1:55" s="54" customFormat="1" ht="15.75">
      <c r="A24" s="87" t="s">
        <v>396</v>
      </c>
      <c r="B24" s="86" t="s">
        <v>397</v>
      </c>
      <c r="C24" s="101" t="s">
        <v>385</v>
      </c>
      <c r="D24" s="132">
        <v>0</v>
      </c>
      <c r="E24" s="133">
        <f t="shared" si="27"/>
        <v>0</v>
      </c>
      <c r="F24" s="133">
        <f t="shared" si="28"/>
        <v>0</v>
      </c>
      <c r="G24" s="133">
        <f t="shared" si="29"/>
        <v>0</v>
      </c>
      <c r="H24" s="133">
        <f t="shared" si="30"/>
        <v>0</v>
      </c>
      <c r="I24" s="133">
        <f t="shared" si="31"/>
        <v>0</v>
      </c>
      <c r="J24" s="134">
        <f t="shared" si="32"/>
        <v>0</v>
      </c>
      <c r="K24" s="138">
        <v>0</v>
      </c>
      <c r="L24" s="138">
        <v>0</v>
      </c>
      <c r="M24" s="138">
        <v>0</v>
      </c>
      <c r="N24" s="138">
        <v>0</v>
      </c>
      <c r="O24" s="134">
        <f t="shared" si="33"/>
        <v>0</v>
      </c>
      <c r="P24" s="135">
        <v>0</v>
      </c>
      <c r="Q24" s="135">
        <v>0</v>
      </c>
      <c r="R24" s="135">
        <v>0</v>
      </c>
      <c r="S24" s="135">
        <v>0</v>
      </c>
      <c r="T24" s="134">
        <f t="shared" si="34"/>
        <v>0</v>
      </c>
      <c r="U24" s="135">
        <v>0</v>
      </c>
      <c r="V24" s="135">
        <v>0</v>
      </c>
      <c r="W24" s="135">
        <v>0</v>
      </c>
      <c r="X24" s="135">
        <v>0</v>
      </c>
      <c r="Y24" s="134">
        <f t="shared" si="35"/>
        <v>0</v>
      </c>
      <c r="Z24" s="135">
        <v>0</v>
      </c>
      <c r="AA24" s="135">
        <v>0</v>
      </c>
      <c r="AB24" s="135">
        <v>0</v>
      </c>
      <c r="AC24" s="135">
        <v>0</v>
      </c>
      <c r="AD24" s="132">
        <v>0</v>
      </c>
      <c r="AE24" s="133">
        <f t="shared" si="36"/>
        <v>0</v>
      </c>
      <c r="AF24" s="133">
        <f t="shared" si="49"/>
        <v>0</v>
      </c>
      <c r="AG24" s="133">
        <f t="shared" si="12"/>
        <v>0</v>
      </c>
      <c r="AH24" s="133">
        <f t="shared" si="13"/>
        <v>0</v>
      </c>
      <c r="AI24" s="133">
        <f t="shared" si="14"/>
        <v>0</v>
      </c>
      <c r="AJ24" s="134">
        <f t="shared" si="37"/>
        <v>0</v>
      </c>
      <c r="AK24" s="135">
        <v>0</v>
      </c>
      <c r="AL24" s="135">
        <v>0</v>
      </c>
      <c r="AM24" s="135">
        <v>0</v>
      </c>
      <c r="AN24" s="135">
        <v>0</v>
      </c>
      <c r="AO24" s="134">
        <f t="shared" si="38"/>
        <v>0</v>
      </c>
      <c r="AP24" s="135">
        <v>0</v>
      </c>
      <c r="AQ24" s="135">
        <v>0</v>
      </c>
      <c r="AR24" s="135">
        <v>0</v>
      </c>
      <c r="AS24" s="135">
        <v>0</v>
      </c>
      <c r="AT24" s="134">
        <f t="shared" si="39"/>
        <v>0</v>
      </c>
      <c r="AU24" s="135">
        <v>0</v>
      </c>
      <c r="AV24" s="135">
        <v>0</v>
      </c>
      <c r="AW24" s="135">
        <v>0</v>
      </c>
      <c r="AX24" s="135">
        <v>0</v>
      </c>
      <c r="AY24" s="134">
        <f t="shared" si="40"/>
        <v>0</v>
      </c>
      <c r="AZ24" s="135">
        <v>0</v>
      </c>
      <c r="BA24" s="135">
        <v>0</v>
      </c>
      <c r="BB24" s="135">
        <v>0</v>
      </c>
      <c r="BC24" s="135">
        <v>0</v>
      </c>
    </row>
    <row r="25" spans="1:55" s="54" customFormat="1" ht="15.75">
      <c r="A25" s="89" t="s">
        <v>398</v>
      </c>
      <c r="B25" s="90" t="s">
        <v>399</v>
      </c>
      <c r="C25" s="101" t="s">
        <v>385</v>
      </c>
      <c r="D25" s="132">
        <f>D26+D40</f>
        <v>13.34</v>
      </c>
      <c r="E25" s="133">
        <f t="shared" si="27"/>
        <v>6.899</v>
      </c>
      <c r="F25" s="133">
        <f t="shared" si="28"/>
        <v>0.11</v>
      </c>
      <c r="G25" s="133">
        <f t="shared" si="29"/>
        <v>0</v>
      </c>
      <c r="H25" s="133">
        <f t="shared" si="30"/>
        <v>6.6909999999999998</v>
      </c>
      <c r="I25" s="133">
        <f t="shared" si="31"/>
        <v>9.8000000000000004E-2</v>
      </c>
      <c r="J25" s="134">
        <f t="shared" si="32"/>
        <v>1.5450000000000002</v>
      </c>
      <c r="K25" s="138">
        <f>K26+K40</f>
        <v>0</v>
      </c>
      <c r="L25" s="138">
        <f t="shared" ref="L25:N25" si="58">L26+L40</f>
        <v>0</v>
      </c>
      <c r="M25" s="138">
        <f t="shared" si="58"/>
        <v>1.5450000000000002</v>
      </c>
      <c r="N25" s="138">
        <f t="shared" si="58"/>
        <v>0</v>
      </c>
      <c r="O25" s="134">
        <f t="shared" si="33"/>
        <v>5.3540000000000001</v>
      </c>
      <c r="P25" s="135">
        <f>P26+P40</f>
        <v>0.11</v>
      </c>
      <c r="Q25" s="135">
        <f t="shared" ref="Q25" si="59">Q26+Q40</f>
        <v>0</v>
      </c>
      <c r="R25" s="135">
        <f t="shared" ref="R25" si="60">R26+R40</f>
        <v>5.1459999999999999</v>
      </c>
      <c r="S25" s="135">
        <f t="shared" ref="S25" si="61">S26+S40</f>
        <v>9.8000000000000004E-2</v>
      </c>
      <c r="T25" s="134">
        <f t="shared" si="34"/>
        <v>0</v>
      </c>
      <c r="U25" s="135">
        <f>U26+U40</f>
        <v>0</v>
      </c>
      <c r="V25" s="135">
        <f t="shared" ref="V25" si="62">V26+V40</f>
        <v>0</v>
      </c>
      <c r="W25" s="135">
        <f t="shared" ref="W25" si="63">W26+W40</f>
        <v>0</v>
      </c>
      <c r="X25" s="135">
        <f t="shared" ref="X25" si="64">X26+X40</f>
        <v>0</v>
      </c>
      <c r="Y25" s="134">
        <f t="shared" si="35"/>
        <v>0</v>
      </c>
      <c r="Z25" s="135">
        <f>Z26+Z40</f>
        <v>0</v>
      </c>
      <c r="AA25" s="135">
        <f t="shared" ref="AA25" si="65">AA26+AA40</f>
        <v>0</v>
      </c>
      <c r="AB25" s="135">
        <f t="shared" ref="AB25" si="66">AB26+AB40</f>
        <v>0</v>
      </c>
      <c r="AC25" s="135">
        <f t="shared" ref="AC25" si="67">AC26+AC40</f>
        <v>0</v>
      </c>
      <c r="AD25" s="132">
        <f>AD26+AD40</f>
        <v>11.509500000000001</v>
      </c>
      <c r="AE25" s="133">
        <f t="shared" si="36"/>
        <v>0.48359999999999997</v>
      </c>
      <c r="AF25" s="133">
        <f t="shared" si="49"/>
        <v>0.44879999999999998</v>
      </c>
      <c r="AG25" s="133">
        <f t="shared" si="12"/>
        <v>0</v>
      </c>
      <c r="AH25" s="133">
        <f t="shared" si="13"/>
        <v>1.2E-2</v>
      </c>
      <c r="AI25" s="133">
        <f t="shared" si="14"/>
        <v>2.2800000000000001E-2</v>
      </c>
      <c r="AJ25" s="134">
        <f t="shared" si="37"/>
        <v>0.48359999999999997</v>
      </c>
      <c r="AK25" s="135">
        <f>AK26+AK40</f>
        <v>0.44879999999999998</v>
      </c>
      <c r="AL25" s="135">
        <f t="shared" ref="AL25" si="68">AL26+AL40</f>
        <v>0</v>
      </c>
      <c r="AM25" s="135">
        <f t="shared" ref="AM25" si="69">AM26+AM40</f>
        <v>1.2E-2</v>
      </c>
      <c r="AN25" s="135">
        <f t="shared" ref="AN25" si="70">AN26+AN40</f>
        <v>2.2800000000000001E-2</v>
      </c>
      <c r="AO25" s="134">
        <f t="shared" si="38"/>
        <v>0</v>
      </c>
      <c r="AP25" s="135">
        <f>AP26+AP40</f>
        <v>0</v>
      </c>
      <c r="AQ25" s="135">
        <f t="shared" ref="AQ25" si="71">AQ26+AQ40</f>
        <v>0</v>
      </c>
      <c r="AR25" s="135">
        <f t="shared" ref="AR25" si="72">AR26+AR40</f>
        <v>0</v>
      </c>
      <c r="AS25" s="135">
        <f t="shared" ref="AS25" si="73">AS26+AS40</f>
        <v>0</v>
      </c>
      <c r="AT25" s="134">
        <f t="shared" si="39"/>
        <v>0</v>
      </c>
      <c r="AU25" s="135">
        <f>AU26+AU40</f>
        <v>0</v>
      </c>
      <c r="AV25" s="135">
        <f t="shared" ref="AV25" si="74">AV26+AV40</f>
        <v>0</v>
      </c>
      <c r="AW25" s="135">
        <f t="shared" ref="AW25" si="75">AW26+AW40</f>
        <v>0</v>
      </c>
      <c r="AX25" s="135">
        <f t="shared" ref="AX25" si="76">AX26+AX40</f>
        <v>0</v>
      </c>
      <c r="AY25" s="134">
        <f t="shared" si="40"/>
        <v>0</v>
      </c>
      <c r="AZ25" s="135">
        <f>AZ26+AZ40</f>
        <v>0</v>
      </c>
      <c r="BA25" s="135">
        <f t="shared" ref="BA25" si="77">BA26+BA40</f>
        <v>0</v>
      </c>
      <c r="BB25" s="135">
        <f t="shared" ref="BB25" si="78">BB26+BB40</f>
        <v>0</v>
      </c>
      <c r="BC25" s="135">
        <f t="shared" ref="BC25" si="79">BC26+BC40</f>
        <v>0</v>
      </c>
    </row>
    <row r="26" spans="1:55" s="54" customFormat="1" ht="28.5">
      <c r="A26" s="89" t="s">
        <v>400</v>
      </c>
      <c r="B26" s="90" t="s">
        <v>401</v>
      </c>
      <c r="C26" s="101" t="s">
        <v>385</v>
      </c>
      <c r="D26" s="132">
        <f>D27+D29+D36</f>
        <v>9.5039999999999996</v>
      </c>
      <c r="E26" s="133">
        <f t="shared" si="27"/>
        <v>4.7629999999999999</v>
      </c>
      <c r="F26" s="133">
        <f t="shared" si="28"/>
        <v>0.11</v>
      </c>
      <c r="G26" s="133">
        <f t="shared" si="29"/>
        <v>0</v>
      </c>
      <c r="H26" s="133">
        <f t="shared" si="30"/>
        <v>4.5720000000000001</v>
      </c>
      <c r="I26" s="133">
        <f t="shared" si="31"/>
        <v>8.1000000000000003E-2</v>
      </c>
      <c r="J26" s="134">
        <f t="shared" si="32"/>
        <v>1.4550000000000001</v>
      </c>
      <c r="K26" s="138">
        <f>K27+K29+K36</f>
        <v>0</v>
      </c>
      <c r="L26" s="138">
        <f t="shared" ref="L26:N26" si="80">L27+L29+L36</f>
        <v>0</v>
      </c>
      <c r="M26" s="138">
        <f t="shared" si="80"/>
        <v>1.4550000000000001</v>
      </c>
      <c r="N26" s="138">
        <f t="shared" si="80"/>
        <v>0</v>
      </c>
      <c r="O26" s="134">
        <f t="shared" si="33"/>
        <v>3.3079999999999998</v>
      </c>
      <c r="P26" s="135">
        <f>P27+P29+P36</f>
        <v>0.11</v>
      </c>
      <c r="Q26" s="135">
        <f t="shared" ref="Q26" si="81">Q27+Q29+Q36</f>
        <v>0</v>
      </c>
      <c r="R26" s="135">
        <f t="shared" ref="R26" si="82">R27+R29+R36</f>
        <v>3.117</v>
      </c>
      <c r="S26" s="135">
        <f t="shared" ref="S26" si="83">S27+S29+S36</f>
        <v>8.1000000000000003E-2</v>
      </c>
      <c r="T26" s="134">
        <f t="shared" si="34"/>
        <v>0</v>
      </c>
      <c r="U26" s="135">
        <f>U27+U29+U36</f>
        <v>0</v>
      </c>
      <c r="V26" s="135">
        <f t="shared" ref="V26" si="84">V27+V29+V36</f>
        <v>0</v>
      </c>
      <c r="W26" s="135">
        <f t="shared" ref="W26" si="85">W27+W29+W36</f>
        <v>0</v>
      </c>
      <c r="X26" s="135">
        <f t="shared" ref="X26" si="86">X27+X29+X36</f>
        <v>0</v>
      </c>
      <c r="Y26" s="134">
        <f t="shared" si="35"/>
        <v>0</v>
      </c>
      <c r="Z26" s="135">
        <f>Z27+Z29+Z36</f>
        <v>0</v>
      </c>
      <c r="AA26" s="135">
        <f t="shared" ref="AA26" si="87">AA27+AA29+AA36</f>
        <v>0</v>
      </c>
      <c r="AB26" s="135">
        <f t="shared" ref="AB26" si="88">AB27+AB29+AB36</f>
        <v>0</v>
      </c>
      <c r="AC26" s="135">
        <f t="shared" ref="AC26" si="89">AC27+AC29+AC36</f>
        <v>0</v>
      </c>
      <c r="AD26" s="132">
        <f>AD27+AD29+AD36</f>
        <v>8.182500000000001</v>
      </c>
      <c r="AE26" s="133">
        <f t="shared" si="36"/>
        <v>0.23330000000000001</v>
      </c>
      <c r="AF26" s="133">
        <f t="shared" si="49"/>
        <v>0.19850000000000001</v>
      </c>
      <c r="AG26" s="133">
        <f t="shared" si="12"/>
        <v>0</v>
      </c>
      <c r="AH26" s="133">
        <f t="shared" si="13"/>
        <v>1.2E-2</v>
      </c>
      <c r="AI26" s="133">
        <f t="shared" si="14"/>
        <v>2.2800000000000001E-2</v>
      </c>
      <c r="AJ26" s="134">
        <f t="shared" si="37"/>
        <v>0.23330000000000001</v>
      </c>
      <c r="AK26" s="135">
        <f>AK27+AK29+AK36</f>
        <v>0.19850000000000001</v>
      </c>
      <c r="AL26" s="135">
        <f t="shared" ref="AL26" si="90">AL27+AL29+AL36</f>
        <v>0</v>
      </c>
      <c r="AM26" s="135">
        <f t="shared" ref="AM26" si="91">AM27+AM29+AM36</f>
        <v>1.2E-2</v>
      </c>
      <c r="AN26" s="135">
        <f t="shared" ref="AN26" si="92">AN27+AN29+AN36</f>
        <v>2.2800000000000001E-2</v>
      </c>
      <c r="AO26" s="134">
        <f t="shared" si="38"/>
        <v>0</v>
      </c>
      <c r="AP26" s="135">
        <f>AP27+AP29+AP36</f>
        <v>0</v>
      </c>
      <c r="AQ26" s="135">
        <f t="shared" ref="AQ26" si="93">AQ27+AQ29+AQ36</f>
        <v>0</v>
      </c>
      <c r="AR26" s="135">
        <f t="shared" ref="AR26" si="94">AR27+AR29+AR36</f>
        <v>0</v>
      </c>
      <c r="AS26" s="135">
        <f t="shared" ref="AS26" si="95">AS27+AS29+AS36</f>
        <v>0</v>
      </c>
      <c r="AT26" s="134">
        <f t="shared" si="39"/>
        <v>0</v>
      </c>
      <c r="AU26" s="135">
        <f>AU27+AU29+AU36</f>
        <v>0</v>
      </c>
      <c r="AV26" s="135">
        <f t="shared" ref="AV26" si="96">AV27+AV29+AV36</f>
        <v>0</v>
      </c>
      <c r="AW26" s="135">
        <f t="shared" ref="AW26" si="97">AW27+AW29+AW36</f>
        <v>0</v>
      </c>
      <c r="AX26" s="135">
        <f t="shared" ref="AX26" si="98">AX27+AX29+AX36</f>
        <v>0</v>
      </c>
      <c r="AY26" s="134">
        <f t="shared" si="40"/>
        <v>0</v>
      </c>
      <c r="AZ26" s="135">
        <f>AZ27+AZ29+AZ36</f>
        <v>0</v>
      </c>
      <c r="BA26" s="135">
        <f t="shared" ref="BA26" si="99">BA27+BA29+BA36</f>
        <v>0</v>
      </c>
      <c r="BB26" s="135">
        <f t="shared" ref="BB26" si="100">BB27+BB29+BB36</f>
        <v>0</v>
      </c>
      <c r="BC26" s="135">
        <f t="shared" ref="BC26" si="101">BC27+BC29+BC36</f>
        <v>0</v>
      </c>
    </row>
    <row r="27" spans="1:55" s="54" customFormat="1" ht="45" customHeight="1">
      <c r="A27" s="89" t="s">
        <v>402</v>
      </c>
      <c r="B27" s="86" t="s">
        <v>403</v>
      </c>
      <c r="C27" s="101" t="s">
        <v>385</v>
      </c>
      <c r="D27" s="132">
        <f>D28</f>
        <v>0</v>
      </c>
      <c r="E27" s="133">
        <f t="shared" si="27"/>
        <v>0</v>
      </c>
      <c r="F27" s="133">
        <f t="shared" si="28"/>
        <v>0</v>
      </c>
      <c r="G27" s="133">
        <f t="shared" si="29"/>
        <v>0</v>
      </c>
      <c r="H27" s="133">
        <f t="shared" si="30"/>
        <v>0</v>
      </c>
      <c r="I27" s="133">
        <f t="shared" si="31"/>
        <v>0</v>
      </c>
      <c r="J27" s="134">
        <f t="shared" si="32"/>
        <v>0</v>
      </c>
      <c r="K27" s="138">
        <f>K28</f>
        <v>0</v>
      </c>
      <c r="L27" s="138">
        <f t="shared" ref="L27:N27" si="102">L28</f>
        <v>0</v>
      </c>
      <c r="M27" s="138">
        <f t="shared" si="102"/>
        <v>0</v>
      </c>
      <c r="N27" s="138">
        <f t="shared" si="102"/>
        <v>0</v>
      </c>
      <c r="O27" s="134">
        <f t="shared" si="33"/>
        <v>0</v>
      </c>
      <c r="P27" s="135">
        <f>P28</f>
        <v>0</v>
      </c>
      <c r="Q27" s="135">
        <f t="shared" ref="Q27" si="103">Q28</f>
        <v>0</v>
      </c>
      <c r="R27" s="135">
        <f t="shared" ref="R27" si="104">R28</f>
        <v>0</v>
      </c>
      <c r="S27" s="135">
        <f t="shared" ref="S27" si="105">S28</f>
        <v>0</v>
      </c>
      <c r="T27" s="134">
        <f t="shared" si="34"/>
        <v>0</v>
      </c>
      <c r="U27" s="135">
        <f>U28</f>
        <v>0</v>
      </c>
      <c r="V27" s="135">
        <f t="shared" ref="V27" si="106">V28</f>
        <v>0</v>
      </c>
      <c r="W27" s="135">
        <f t="shared" ref="W27" si="107">W28</f>
        <v>0</v>
      </c>
      <c r="X27" s="135">
        <f t="shared" ref="X27" si="108">X28</f>
        <v>0</v>
      </c>
      <c r="Y27" s="134">
        <f t="shared" si="35"/>
        <v>0</v>
      </c>
      <c r="Z27" s="135">
        <f>Z28</f>
        <v>0</v>
      </c>
      <c r="AA27" s="135">
        <f t="shared" ref="AA27" si="109">AA28</f>
        <v>0</v>
      </c>
      <c r="AB27" s="135">
        <f t="shared" ref="AB27" si="110">AB28</f>
        <v>0</v>
      </c>
      <c r="AC27" s="135">
        <f t="shared" ref="AC27" si="111">AC28</f>
        <v>0</v>
      </c>
      <c r="AD27" s="132">
        <f>AD28</f>
        <v>0</v>
      </c>
      <c r="AE27" s="133">
        <f t="shared" si="36"/>
        <v>0</v>
      </c>
      <c r="AF27" s="133">
        <f t="shared" si="49"/>
        <v>0</v>
      </c>
      <c r="AG27" s="133">
        <f t="shared" si="12"/>
        <v>0</v>
      </c>
      <c r="AH27" s="133">
        <f t="shared" si="13"/>
        <v>0</v>
      </c>
      <c r="AI27" s="133">
        <f t="shared" si="14"/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f t="shared" ref="AN27" si="112">AN28</f>
        <v>0</v>
      </c>
      <c r="AO27" s="134">
        <f t="shared" si="38"/>
        <v>0</v>
      </c>
      <c r="AP27" s="135">
        <v>0</v>
      </c>
      <c r="AQ27" s="135">
        <v>0</v>
      </c>
      <c r="AR27" s="135">
        <v>0</v>
      </c>
      <c r="AS27" s="135">
        <v>0</v>
      </c>
      <c r="AT27" s="134">
        <f t="shared" si="39"/>
        <v>0</v>
      </c>
      <c r="AU27" s="135">
        <v>0</v>
      </c>
      <c r="AV27" s="135">
        <v>0</v>
      </c>
      <c r="AW27" s="135">
        <v>0</v>
      </c>
      <c r="AX27" s="135">
        <v>0</v>
      </c>
      <c r="AY27" s="134">
        <f t="shared" si="40"/>
        <v>0</v>
      </c>
      <c r="AZ27" s="135">
        <v>0</v>
      </c>
      <c r="BA27" s="135">
        <v>0</v>
      </c>
      <c r="BB27" s="135">
        <v>0</v>
      </c>
      <c r="BC27" s="135">
        <v>0</v>
      </c>
    </row>
    <row r="28" spans="1:55" s="54" customFormat="1" ht="30">
      <c r="A28" s="87" t="s">
        <v>404</v>
      </c>
      <c r="B28" s="86" t="s">
        <v>405</v>
      </c>
      <c r="C28" s="101" t="s">
        <v>385</v>
      </c>
      <c r="D28" s="132">
        <v>0</v>
      </c>
      <c r="E28" s="133">
        <f t="shared" si="27"/>
        <v>0</v>
      </c>
      <c r="F28" s="133">
        <f t="shared" si="28"/>
        <v>0</v>
      </c>
      <c r="G28" s="133">
        <f t="shared" si="29"/>
        <v>0</v>
      </c>
      <c r="H28" s="133">
        <f t="shared" si="30"/>
        <v>0</v>
      </c>
      <c r="I28" s="133">
        <f t="shared" si="31"/>
        <v>0</v>
      </c>
      <c r="J28" s="134">
        <f t="shared" si="32"/>
        <v>0</v>
      </c>
      <c r="K28" s="138">
        <v>0</v>
      </c>
      <c r="L28" s="138">
        <v>0</v>
      </c>
      <c r="M28" s="138">
        <v>0</v>
      </c>
      <c r="N28" s="138">
        <v>0</v>
      </c>
      <c r="O28" s="134">
        <f t="shared" si="33"/>
        <v>0</v>
      </c>
      <c r="P28" s="135">
        <v>0</v>
      </c>
      <c r="Q28" s="135">
        <v>0</v>
      </c>
      <c r="R28" s="135">
        <v>0</v>
      </c>
      <c r="S28" s="135">
        <v>0</v>
      </c>
      <c r="T28" s="134">
        <f t="shared" si="34"/>
        <v>0</v>
      </c>
      <c r="U28" s="135">
        <v>0</v>
      </c>
      <c r="V28" s="135">
        <v>0</v>
      </c>
      <c r="W28" s="135">
        <v>0</v>
      </c>
      <c r="X28" s="135">
        <v>0</v>
      </c>
      <c r="Y28" s="134">
        <f t="shared" si="35"/>
        <v>0</v>
      </c>
      <c r="Z28" s="135">
        <v>0</v>
      </c>
      <c r="AA28" s="135">
        <v>0</v>
      </c>
      <c r="AB28" s="135">
        <v>0</v>
      </c>
      <c r="AC28" s="135">
        <v>0</v>
      </c>
      <c r="AD28" s="132">
        <v>0</v>
      </c>
      <c r="AE28" s="133">
        <f t="shared" si="36"/>
        <v>0</v>
      </c>
      <c r="AF28" s="133">
        <f t="shared" si="49"/>
        <v>0</v>
      </c>
      <c r="AG28" s="133">
        <f t="shared" si="12"/>
        <v>0</v>
      </c>
      <c r="AH28" s="133">
        <f t="shared" si="13"/>
        <v>0</v>
      </c>
      <c r="AI28" s="133">
        <f t="shared" si="14"/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4">
        <f t="shared" si="38"/>
        <v>0</v>
      </c>
      <c r="AP28" s="135">
        <v>0</v>
      </c>
      <c r="AQ28" s="135">
        <v>0</v>
      </c>
      <c r="AR28" s="135">
        <v>0</v>
      </c>
      <c r="AS28" s="135">
        <v>0</v>
      </c>
      <c r="AT28" s="134">
        <f t="shared" si="39"/>
        <v>0</v>
      </c>
      <c r="AU28" s="135">
        <v>0</v>
      </c>
      <c r="AV28" s="135">
        <v>0</v>
      </c>
      <c r="AW28" s="135">
        <v>0</v>
      </c>
      <c r="AX28" s="135">
        <v>0</v>
      </c>
      <c r="AY28" s="134">
        <f t="shared" si="40"/>
        <v>0</v>
      </c>
      <c r="AZ28" s="135">
        <v>0</v>
      </c>
      <c r="BA28" s="135">
        <v>0</v>
      </c>
      <c r="BB28" s="135">
        <v>0</v>
      </c>
      <c r="BC28" s="135">
        <v>0</v>
      </c>
    </row>
    <row r="29" spans="1:55" s="54" customFormat="1" ht="45">
      <c r="A29" s="89" t="s">
        <v>406</v>
      </c>
      <c r="B29" s="86" t="s">
        <v>407</v>
      </c>
      <c r="C29" s="101" t="s">
        <v>385</v>
      </c>
      <c r="D29" s="132">
        <f>D30+D34</f>
        <v>7.4049999999999994</v>
      </c>
      <c r="E29" s="133">
        <f t="shared" si="27"/>
        <v>3.109</v>
      </c>
      <c r="F29" s="133">
        <f t="shared" si="28"/>
        <v>0.11</v>
      </c>
      <c r="G29" s="133">
        <f t="shared" si="29"/>
        <v>0</v>
      </c>
      <c r="H29" s="133">
        <f t="shared" si="30"/>
        <v>2.9180000000000001</v>
      </c>
      <c r="I29" s="133">
        <f t="shared" si="31"/>
        <v>8.1000000000000003E-2</v>
      </c>
      <c r="J29" s="134">
        <f t="shared" si="32"/>
        <v>1.4550000000000001</v>
      </c>
      <c r="K29" s="138">
        <f>K30+K34</f>
        <v>0</v>
      </c>
      <c r="L29" s="138">
        <f t="shared" ref="L29:N29" si="113">L30+L34</f>
        <v>0</v>
      </c>
      <c r="M29" s="138">
        <f t="shared" si="113"/>
        <v>1.4550000000000001</v>
      </c>
      <c r="N29" s="138">
        <f t="shared" si="113"/>
        <v>0</v>
      </c>
      <c r="O29" s="134">
        <f t="shared" si="33"/>
        <v>1.6539999999999999</v>
      </c>
      <c r="P29" s="135">
        <f>P30+P34</f>
        <v>0.11</v>
      </c>
      <c r="Q29" s="135">
        <f t="shared" ref="Q29" si="114">Q30+Q34</f>
        <v>0</v>
      </c>
      <c r="R29" s="135">
        <f t="shared" ref="R29" si="115">R30+R34</f>
        <v>1.4629999999999999</v>
      </c>
      <c r="S29" s="135">
        <f t="shared" ref="S29" si="116">S30+S34</f>
        <v>8.1000000000000003E-2</v>
      </c>
      <c r="T29" s="134">
        <f t="shared" si="34"/>
        <v>0</v>
      </c>
      <c r="U29" s="135">
        <f>U30+U34</f>
        <v>0</v>
      </c>
      <c r="V29" s="135">
        <f t="shared" ref="V29" si="117">V30+V34</f>
        <v>0</v>
      </c>
      <c r="W29" s="135">
        <f t="shared" ref="W29" si="118">W30+W34</f>
        <v>0</v>
      </c>
      <c r="X29" s="135">
        <f t="shared" ref="X29" si="119">X30+X34</f>
        <v>0</v>
      </c>
      <c r="Y29" s="134">
        <f t="shared" si="35"/>
        <v>0</v>
      </c>
      <c r="Z29" s="135">
        <f>Z30+Z34</f>
        <v>0</v>
      </c>
      <c r="AA29" s="135">
        <f t="shared" ref="AA29" si="120">AA30+AA34</f>
        <v>0</v>
      </c>
      <c r="AB29" s="135">
        <f t="shared" ref="AB29" si="121">AB30+AB34</f>
        <v>0</v>
      </c>
      <c r="AC29" s="135">
        <f t="shared" ref="AC29" si="122">AC30+AC34</f>
        <v>0</v>
      </c>
      <c r="AD29" s="132">
        <f>AD30+AD34</f>
        <v>6.4032</v>
      </c>
      <c r="AE29" s="133">
        <f t="shared" si="36"/>
        <v>0.23330000000000001</v>
      </c>
      <c r="AF29" s="133">
        <f t="shared" si="49"/>
        <v>0.19850000000000001</v>
      </c>
      <c r="AG29" s="133">
        <f t="shared" si="12"/>
        <v>0</v>
      </c>
      <c r="AH29" s="133">
        <f t="shared" si="13"/>
        <v>1.2E-2</v>
      </c>
      <c r="AI29" s="133">
        <f t="shared" si="14"/>
        <v>2.2800000000000001E-2</v>
      </c>
      <c r="AJ29" s="134">
        <f t="shared" si="37"/>
        <v>0.23330000000000001</v>
      </c>
      <c r="AK29" s="135">
        <f>AK30+AK34</f>
        <v>0.19850000000000001</v>
      </c>
      <c r="AL29" s="135">
        <f t="shared" ref="AL29" si="123">AL30+AL34</f>
        <v>0</v>
      </c>
      <c r="AM29" s="135">
        <f t="shared" ref="AM29" si="124">AM30+AM34</f>
        <v>1.2E-2</v>
      </c>
      <c r="AN29" s="135">
        <f t="shared" ref="AN29" si="125">AN30+AN34</f>
        <v>2.2800000000000001E-2</v>
      </c>
      <c r="AO29" s="134">
        <f t="shared" si="38"/>
        <v>0</v>
      </c>
      <c r="AP29" s="135">
        <f>AP30+AP34</f>
        <v>0</v>
      </c>
      <c r="AQ29" s="135">
        <f t="shared" ref="AQ29" si="126">AQ30+AQ34</f>
        <v>0</v>
      </c>
      <c r="AR29" s="135">
        <f t="shared" ref="AR29" si="127">AR30+AR34</f>
        <v>0</v>
      </c>
      <c r="AS29" s="135">
        <f t="shared" ref="AS29" si="128">AS30+AS34</f>
        <v>0</v>
      </c>
      <c r="AT29" s="134">
        <f t="shared" si="39"/>
        <v>0</v>
      </c>
      <c r="AU29" s="135">
        <f>AU30+AU34</f>
        <v>0</v>
      </c>
      <c r="AV29" s="135">
        <f t="shared" ref="AV29" si="129">AV30+AV34</f>
        <v>0</v>
      </c>
      <c r="AW29" s="135">
        <f t="shared" ref="AW29" si="130">AW30+AW34</f>
        <v>0</v>
      </c>
      <c r="AX29" s="135">
        <f t="shared" ref="AX29" si="131">AX30+AX34</f>
        <v>0</v>
      </c>
      <c r="AY29" s="134">
        <f t="shared" si="40"/>
        <v>0</v>
      </c>
      <c r="AZ29" s="135">
        <f>AZ30+AZ34</f>
        <v>0</v>
      </c>
      <c r="BA29" s="135">
        <f t="shared" ref="BA29" si="132">BA30+BA34</f>
        <v>0</v>
      </c>
      <c r="BB29" s="135">
        <f t="shared" ref="BB29" si="133">BB30+BB34</f>
        <v>0</v>
      </c>
      <c r="BC29" s="135">
        <f t="shared" ref="BC29" si="134">BC30+BC34</f>
        <v>0</v>
      </c>
    </row>
    <row r="30" spans="1:55" s="54" customFormat="1" ht="30">
      <c r="A30" s="87" t="s">
        <v>408</v>
      </c>
      <c r="B30" s="86" t="s">
        <v>409</v>
      </c>
      <c r="C30" s="101" t="s">
        <v>385</v>
      </c>
      <c r="D30" s="132">
        <f>D32+D33+D31</f>
        <v>6.8359999999999994</v>
      </c>
      <c r="E30" s="133">
        <f t="shared" si="27"/>
        <v>2.8739999999999997</v>
      </c>
      <c r="F30" s="133">
        <f t="shared" si="28"/>
        <v>0.11</v>
      </c>
      <c r="G30" s="133">
        <f t="shared" si="29"/>
        <v>0</v>
      </c>
      <c r="H30" s="133">
        <f t="shared" si="30"/>
        <v>2.6829999999999998</v>
      </c>
      <c r="I30" s="133">
        <f t="shared" si="31"/>
        <v>8.1000000000000003E-2</v>
      </c>
      <c r="J30" s="134">
        <f t="shared" si="32"/>
        <v>1.331</v>
      </c>
      <c r="K30" s="132">
        <f t="shared" ref="K30:W30" si="135">K32+K33+K31</f>
        <v>0</v>
      </c>
      <c r="L30" s="132">
        <f>L32+L33+L31</f>
        <v>0</v>
      </c>
      <c r="M30" s="132">
        <f t="shared" si="135"/>
        <v>1.331</v>
      </c>
      <c r="N30" s="132">
        <f t="shared" si="135"/>
        <v>0</v>
      </c>
      <c r="O30" s="132">
        <f t="shared" si="135"/>
        <v>1.5429999999999999</v>
      </c>
      <c r="P30" s="132">
        <f t="shared" si="135"/>
        <v>0.11</v>
      </c>
      <c r="Q30" s="132">
        <f t="shared" si="135"/>
        <v>0</v>
      </c>
      <c r="R30" s="132">
        <f t="shared" si="135"/>
        <v>1.3519999999999999</v>
      </c>
      <c r="S30" s="132">
        <f t="shared" si="135"/>
        <v>8.1000000000000003E-2</v>
      </c>
      <c r="T30" s="132">
        <f t="shared" si="135"/>
        <v>0</v>
      </c>
      <c r="U30" s="132">
        <f t="shared" si="135"/>
        <v>0</v>
      </c>
      <c r="V30" s="132">
        <f t="shared" si="135"/>
        <v>0</v>
      </c>
      <c r="W30" s="132">
        <f t="shared" si="135"/>
        <v>0</v>
      </c>
      <c r="X30" s="132">
        <f t="shared" ref="X30" si="136">X32+X33+X31</f>
        <v>0</v>
      </c>
      <c r="Y30" s="132">
        <f t="shared" ref="Y30" si="137">Y32+Y33+Y31</f>
        <v>0</v>
      </c>
      <c r="Z30" s="132">
        <f t="shared" ref="Z30" si="138">Z32+Z33+Z31</f>
        <v>0</v>
      </c>
      <c r="AA30" s="132">
        <f t="shared" ref="AA30" si="139">AA32+AA33+AA31</f>
        <v>0</v>
      </c>
      <c r="AB30" s="132">
        <f t="shared" ref="AB30" si="140">AB32+AB33+AB31</f>
        <v>0</v>
      </c>
      <c r="AC30" s="132">
        <f t="shared" ref="AC30" si="141">AC32+AC33+AC31</f>
        <v>0</v>
      </c>
      <c r="AD30" s="132">
        <f>AD32+AD33+AD31</f>
        <v>5.9210000000000003</v>
      </c>
      <c r="AE30" s="133">
        <f t="shared" si="36"/>
        <v>0.23330000000000001</v>
      </c>
      <c r="AF30" s="133">
        <f t="shared" si="49"/>
        <v>0.19850000000000001</v>
      </c>
      <c r="AG30" s="133">
        <f t="shared" si="12"/>
        <v>0</v>
      </c>
      <c r="AH30" s="133">
        <f t="shared" si="13"/>
        <v>1.2E-2</v>
      </c>
      <c r="AI30" s="133">
        <f t="shared" si="14"/>
        <v>2.2800000000000001E-2</v>
      </c>
      <c r="AJ30" s="134">
        <f t="shared" si="37"/>
        <v>0.23330000000000001</v>
      </c>
      <c r="AK30" s="132">
        <f t="shared" ref="AK30" si="142">AK32+AK33+AK31</f>
        <v>0.19850000000000001</v>
      </c>
      <c r="AL30" s="132">
        <f>AL32+AL33+AL31</f>
        <v>0</v>
      </c>
      <c r="AM30" s="132">
        <f t="shared" ref="AM30" si="143">AM32+AM33+AM31</f>
        <v>1.2E-2</v>
      </c>
      <c r="AN30" s="132">
        <f t="shared" ref="AN30" si="144">AN32+AN33+AN31</f>
        <v>2.2800000000000001E-2</v>
      </c>
      <c r="AO30" s="132">
        <f t="shared" ref="AO30" si="145">AO32+AO33+AO31</f>
        <v>0</v>
      </c>
      <c r="AP30" s="132">
        <f t="shared" ref="AP30" si="146">AP32+AP33+AP31</f>
        <v>0</v>
      </c>
      <c r="AQ30" s="132">
        <f t="shared" ref="AQ30" si="147">AQ32+AQ33+AQ31</f>
        <v>0</v>
      </c>
      <c r="AR30" s="132">
        <f t="shared" ref="AR30" si="148">AR32+AR33+AR31</f>
        <v>0</v>
      </c>
      <c r="AS30" s="132">
        <f t="shared" ref="AS30" si="149">AS32+AS33+AS31</f>
        <v>0</v>
      </c>
      <c r="AT30" s="132">
        <f t="shared" ref="AT30" si="150">AT32+AT33+AT31</f>
        <v>0</v>
      </c>
      <c r="AU30" s="132">
        <f t="shared" ref="AU30" si="151">AU32+AU33+AU31</f>
        <v>0</v>
      </c>
      <c r="AV30" s="132">
        <f t="shared" ref="AV30" si="152">AV32+AV33+AV31</f>
        <v>0</v>
      </c>
      <c r="AW30" s="132">
        <f t="shared" ref="AW30" si="153">AW32+AW33+AW31</f>
        <v>0</v>
      </c>
      <c r="AX30" s="132">
        <f t="shared" ref="AX30" si="154">AX32+AX33+AX31</f>
        <v>0</v>
      </c>
      <c r="AY30" s="132">
        <f t="shared" ref="AY30" si="155">AY32+AY33+AY31</f>
        <v>0</v>
      </c>
      <c r="AZ30" s="132">
        <f t="shared" ref="AZ30" si="156">AZ32+AZ33+AZ31</f>
        <v>0</v>
      </c>
      <c r="BA30" s="132">
        <f t="shared" ref="BA30" si="157">BA32+BA33+BA31</f>
        <v>0</v>
      </c>
      <c r="BB30" s="132">
        <f t="shared" ref="BB30" si="158">BB32+BB33+BB31</f>
        <v>0</v>
      </c>
      <c r="BC30" s="132">
        <f t="shared" ref="BC30" si="159">BC32+BC33+BC31</f>
        <v>0</v>
      </c>
    </row>
    <row r="31" spans="1:55" s="54" customFormat="1" ht="45">
      <c r="A31" s="91" t="s">
        <v>410</v>
      </c>
      <c r="B31" s="92" t="s">
        <v>411</v>
      </c>
      <c r="C31" s="102" t="s">
        <v>412</v>
      </c>
      <c r="D31" s="132">
        <f>'10'!G30</f>
        <v>0.99999999999999989</v>
      </c>
      <c r="E31" s="133">
        <f t="shared" si="27"/>
        <v>6.5000000000000002E-2</v>
      </c>
      <c r="F31" s="133">
        <f t="shared" si="28"/>
        <v>0.01</v>
      </c>
      <c r="G31" s="133">
        <f t="shared" si="29"/>
        <v>0</v>
      </c>
      <c r="H31" s="133">
        <f t="shared" si="30"/>
        <v>5.5E-2</v>
      </c>
      <c r="I31" s="133">
        <f t="shared" si="31"/>
        <v>0</v>
      </c>
      <c r="J31" s="134">
        <f t="shared" si="32"/>
        <v>2.8000000000000001E-2</v>
      </c>
      <c r="K31" s="138">
        <v>0</v>
      </c>
      <c r="L31" s="138">
        <v>0</v>
      </c>
      <c r="M31" s="138">
        <v>2.8000000000000001E-2</v>
      </c>
      <c r="N31" s="138">
        <v>0</v>
      </c>
      <c r="O31" s="134">
        <f t="shared" si="33"/>
        <v>3.6999999999999998E-2</v>
      </c>
      <c r="P31" s="135">
        <v>0.01</v>
      </c>
      <c r="Q31" s="135">
        <v>0</v>
      </c>
      <c r="R31" s="135">
        <v>2.7E-2</v>
      </c>
      <c r="S31" s="135">
        <v>0</v>
      </c>
      <c r="T31" s="134">
        <f t="shared" si="34"/>
        <v>0</v>
      </c>
      <c r="U31" s="135">
        <v>0</v>
      </c>
      <c r="V31" s="135">
        <v>0</v>
      </c>
      <c r="W31" s="135">
        <v>0</v>
      </c>
      <c r="X31" s="135">
        <v>0</v>
      </c>
      <c r="Y31" s="134">
        <f t="shared" si="35"/>
        <v>0</v>
      </c>
      <c r="Z31" s="135">
        <v>0</v>
      </c>
      <c r="AA31" s="135">
        <v>0</v>
      </c>
      <c r="AB31" s="135">
        <v>0</v>
      </c>
      <c r="AC31" s="135">
        <v>0</v>
      </c>
      <c r="AD31" s="132">
        <f>'12'!H29</f>
        <v>0.84799999999999998</v>
      </c>
      <c r="AE31" s="133">
        <f t="shared" si="36"/>
        <v>0</v>
      </c>
      <c r="AF31" s="133">
        <f t="shared" si="49"/>
        <v>0</v>
      </c>
      <c r="AG31" s="133">
        <f t="shared" si="12"/>
        <v>0</v>
      </c>
      <c r="AH31" s="133">
        <f t="shared" si="13"/>
        <v>0</v>
      </c>
      <c r="AI31" s="133">
        <f t="shared" si="14"/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4">
        <f t="shared" si="38"/>
        <v>0</v>
      </c>
      <c r="AP31" s="135">
        <v>0</v>
      </c>
      <c r="AQ31" s="135">
        <v>0</v>
      </c>
      <c r="AR31" s="135">
        <v>0</v>
      </c>
      <c r="AS31" s="135">
        <v>0</v>
      </c>
      <c r="AT31" s="134">
        <f t="shared" si="39"/>
        <v>0</v>
      </c>
      <c r="AU31" s="135">
        <v>0</v>
      </c>
      <c r="AV31" s="135">
        <v>0</v>
      </c>
      <c r="AW31" s="135">
        <v>0</v>
      </c>
      <c r="AX31" s="135">
        <v>0</v>
      </c>
      <c r="AY31" s="134">
        <f t="shared" si="40"/>
        <v>0</v>
      </c>
      <c r="AZ31" s="135">
        <v>0</v>
      </c>
      <c r="BA31" s="135">
        <v>0</v>
      </c>
      <c r="BB31" s="135">
        <v>0</v>
      </c>
      <c r="BC31" s="135">
        <v>0</v>
      </c>
    </row>
    <row r="32" spans="1:55" s="54" customFormat="1" ht="75">
      <c r="A32" s="121" t="s">
        <v>442</v>
      </c>
      <c r="B32" s="122" t="s">
        <v>414</v>
      </c>
      <c r="C32" s="123" t="s">
        <v>308</v>
      </c>
      <c r="D32" s="132">
        <v>0</v>
      </c>
      <c r="E32" s="133">
        <f t="shared" si="27"/>
        <v>0</v>
      </c>
      <c r="F32" s="133">
        <f t="shared" si="28"/>
        <v>0</v>
      </c>
      <c r="G32" s="133">
        <f t="shared" si="29"/>
        <v>0</v>
      </c>
      <c r="H32" s="133">
        <f t="shared" si="30"/>
        <v>0</v>
      </c>
      <c r="I32" s="133">
        <f t="shared" si="31"/>
        <v>0</v>
      </c>
      <c r="J32" s="134">
        <f t="shared" si="32"/>
        <v>0</v>
      </c>
      <c r="K32" s="138">
        <v>0</v>
      </c>
      <c r="L32" s="138">
        <v>0</v>
      </c>
      <c r="M32" s="138">
        <v>0</v>
      </c>
      <c r="N32" s="138">
        <v>0</v>
      </c>
      <c r="O32" s="134">
        <v>0</v>
      </c>
      <c r="P32" s="135">
        <v>0</v>
      </c>
      <c r="Q32" s="135">
        <v>0</v>
      </c>
      <c r="R32" s="135">
        <v>0</v>
      </c>
      <c r="S32" s="135">
        <v>0</v>
      </c>
      <c r="T32" s="134">
        <f t="shared" si="34"/>
        <v>0</v>
      </c>
      <c r="U32" s="135">
        <v>0</v>
      </c>
      <c r="V32" s="135">
        <v>0</v>
      </c>
      <c r="W32" s="135">
        <v>0</v>
      </c>
      <c r="X32" s="135">
        <v>0</v>
      </c>
      <c r="Y32" s="134">
        <f t="shared" si="35"/>
        <v>0</v>
      </c>
      <c r="Z32" s="135">
        <v>0</v>
      </c>
      <c r="AA32" s="135">
        <v>0</v>
      </c>
      <c r="AB32" s="135">
        <v>0</v>
      </c>
      <c r="AC32" s="135">
        <v>0</v>
      </c>
      <c r="AD32" s="132">
        <v>0</v>
      </c>
      <c r="AE32" s="133">
        <f t="shared" si="36"/>
        <v>0</v>
      </c>
      <c r="AF32" s="133">
        <f t="shared" si="49"/>
        <v>0</v>
      </c>
      <c r="AG32" s="133">
        <f t="shared" si="12"/>
        <v>0</v>
      </c>
      <c r="AH32" s="133">
        <f t="shared" si="13"/>
        <v>0</v>
      </c>
      <c r="AI32" s="133">
        <f t="shared" si="14"/>
        <v>0</v>
      </c>
      <c r="AJ32" s="134">
        <f t="shared" si="37"/>
        <v>0</v>
      </c>
      <c r="AK32" s="135">
        <v>0</v>
      </c>
      <c r="AL32" s="135">
        <v>0</v>
      </c>
      <c r="AM32" s="135">
        <v>0</v>
      </c>
      <c r="AN32" s="135">
        <v>0</v>
      </c>
      <c r="AO32" s="134">
        <f t="shared" si="38"/>
        <v>0</v>
      </c>
      <c r="AP32" s="135">
        <v>0</v>
      </c>
      <c r="AQ32" s="135">
        <v>0</v>
      </c>
      <c r="AR32" s="135">
        <v>0</v>
      </c>
      <c r="AS32" s="135">
        <v>0</v>
      </c>
      <c r="AT32" s="134">
        <f t="shared" si="39"/>
        <v>0</v>
      </c>
      <c r="AU32" s="135">
        <v>0</v>
      </c>
      <c r="AV32" s="135">
        <v>0</v>
      </c>
      <c r="AW32" s="135">
        <v>0</v>
      </c>
      <c r="AX32" s="135">
        <v>0</v>
      </c>
      <c r="AY32" s="134">
        <f t="shared" si="40"/>
        <v>0</v>
      </c>
      <c r="AZ32" s="135">
        <v>0</v>
      </c>
      <c r="BA32" s="135">
        <v>0</v>
      </c>
      <c r="BB32" s="135">
        <v>0</v>
      </c>
      <c r="BC32" s="135">
        <v>0</v>
      </c>
    </row>
    <row r="33" spans="1:55" s="54" customFormat="1" ht="60">
      <c r="A33" s="91" t="s">
        <v>443</v>
      </c>
      <c r="B33" s="92" t="s">
        <v>416</v>
      </c>
      <c r="C33" s="102" t="s">
        <v>417</v>
      </c>
      <c r="D33" s="132">
        <f>'10'!G32</f>
        <v>5.8359999999999994</v>
      </c>
      <c r="E33" s="133">
        <f t="shared" si="27"/>
        <v>2.8090000000000002</v>
      </c>
      <c r="F33" s="133">
        <f t="shared" si="28"/>
        <v>0.1</v>
      </c>
      <c r="G33" s="133">
        <f t="shared" si="29"/>
        <v>0</v>
      </c>
      <c r="H33" s="133">
        <f t="shared" si="30"/>
        <v>2.6280000000000001</v>
      </c>
      <c r="I33" s="133">
        <f t="shared" si="31"/>
        <v>8.1000000000000003E-2</v>
      </c>
      <c r="J33" s="134">
        <f t="shared" si="32"/>
        <v>1.3029999999999999</v>
      </c>
      <c r="K33" s="138">
        <v>0</v>
      </c>
      <c r="L33" s="138">
        <v>0</v>
      </c>
      <c r="M33" s="138">
        <f>1.291+0.012</f>
        <v>1.3029999999999999</v>
      </c>
      <c r="N33" s="138">
        <v>0</v>
      </c>
      <c r="O33" s="134">
        <f t="shared" si="33"/>
        <v>1.506</v>
      </c>
      <c r="P33" s="135">
        <v>0.1</v>
      </c>
      <c r="Q33" s="135">
        <v>0</v>
      </c>
      <c r="R33" s="135">
        <v>1.325</v>
      </c>
      <c r="S33" s="135">
        <v>8.1000000000000003E-2</v>
      </c>
      <c r="T33" s="134">
        <f t="shared" si="34"/>
        <v>0</v>
      </c>
      <c r="U33" s="135">
        <v>0</v>
      </c>
      <c r="V33" s="135">
        <v>0</v>
      </c>
      <c r="W33" s="135">
        <v>0</v>
      </c>
      <c r="X33" s="135">
        <v>0</v>
      </c>
      <c r="Y33" s="134">
        <f t="shared" si="35"/>
        <v>0</v>
      </c>
      <c r="Z33" s="135">
        <v>0</v>
      </c>
      <c r="AA33" s="135">
        <v>0</v>
      </c>
      <c r="AB33" s="135">
        <v>0</v>
      </c>
      <c r="AC33" s="135">
        <v>0</v>
      </c>
      <c r="AD33" s="132">
        <f>'12'!H31</f>
        <v>5.0730000000000004</v>
      </c>
      <c r="AE33" s="133">
        <f t="shared" si="36"/>
        <v>0.23330000000000001</v>
      </c>
      <c r="AF33" s="133">
        <f t="shared" si="49"/>
        <v>0.19850000000000001</v>
      </c>
      <c r="AG33" s="133">
        <f t="shared" si="12"/>
        <v>0</v>
      </c>
      <c r="AH33" s="133">
        <f t="shared" si="13"/>
        <v>1.2E-2</v>
      </c>
      <c r="AI33" s="133">
        <f t="shared" si="14"/>
        <v>2.2800000000000001E-2</v>
      </c>
      <c r="AJ33" s="134">
        <f t="shared" si="37"/>
        <v>0.23330000000000001</v>
      </c>
      <c r="AK33" s="135">
        <f>0.0995+0.099</f>
        <v>0.19850000000000001</v>
      </c>
      <c r="AL33" s="135">
        <v>0</v>
      </c>
      <c r="AM33" s="135">
        <v>1.2E-2</v>
      </c>
      <c r="AN33" s="135">
        <v>2.2800000000000001E-2</v>
      </c>
      <c r="AO33" s="134">
        <f t="shared" si="38"/>
        <v>0</v>
      </c>
      <c r="AP33" s="135">
        <v>0</v>
      </c>
      <c r="AQ33" s="135">
        <v>0</v>
      </c>
      <c r="AR33" s="135">
        <v>0</v>
      </c>
      <c r="AS33" s="135">
        <v>0</v>
      </c>
      <c r="AT33" s="134">
        <f t="shared" si="39"/>
        <v>0</v>
      </c>
      <c r="AU33" s="135">
        <v>0</v>
      </c>
      <c r="AV33" s="135">
        <v>0</v>
      </c>
      <c r="AW33" s="135">
        <v>0</v>
      </c>
      <c r="AX33" s="135">
        <v>0</v>
      </c>
      <c r="AY33" s="134">
        <f t="shared" si="40"/>
        <v>0</v>
      </c>
      <c r="AZ33" s="135">
        <v>0</v>
      </c>
      <c r="BA33" s="135">
        <v>0</v>
      </c>
      <c r="BB33" s="135">
        <v>0</v>
      </c>
      <c r="BC33" s="135">
        <v>0</v>
      </c>
    </row>
    <row r="34" spans="1:55" s="54" customFormat="1" ht="31.5">
      <c r="A34" s="114" t="s">
        <v>418</v>
      </c>
      <c r="B34" s="105" t="s">
        <v>419</v>
      </c>
      <c r="C34" s="103" t="s">
        <v>385</v>
      </c>
      <c r="D34" s="132">
        <f>D35</f>
        <v>0.56900000000000006</v>
      </c>
      <c r="E34" s="133">
        <f t="shared" si="27"/>
        <v>0.23499999999999999</v>
      </c>
      <c r="F34" s="133">
        <f t="shared" si="28"/>
        <v>0</v>
      </c>
      <c r="G34" s="133">
        <f t="shared" si="29"/>
        <v>0</v>
      </c>
      <c r="H34" s="133">
        <f t="shared" si="30"/>
        <v>0.23499999999999999</v>
      </c>
      <c r="I34" s="133">
        <f t="shared" si="31"/>
        <v>0</v>
      </c>
      <c r="J34" s="134">
        <f t="shared" si="32"/>
        <v>0.124</v>
      </c>
      <c r="K34" s="138">
        <f>K35</f>
        <v>0</v>
      </c>
      <c r="L34" s="138">
        <f t="shared" ref="L34:N34" si="160">L35</f>
        <v>0</v>
      </c>
      <c r="M34" s="138">
        <f t="shared" si="160"/>
        <v>0.124</v>
      </c>
      <c r="N34" s="138">
        <f t="shared" si="160"/>
        <v>0</v>
      </c>
      <c r="O34" s="134">
        <f t="shared" si="33"/>
        <v>0.111</v>
      </c>
      <c r="P34" s="135">
        <f>P35</f>
        <v>0</v>
      </c>
      <c r="Q34" s="135">
        <f t="shared" ref="Q34" si="161">Q35</f>
        <v>0</v>
      </c>
      <c r="R34" s="135">
        <f t="shared" ref="R34" si="162">R35</f>
        <v>0.111</v>
      </c>
      <c r="S34" s="135">
        <f t="shared" ref="S34" si="163">S35</f>
        <v>0</v>
      </c>
      <c r="T34" s="134">
        <f t="shared" si="34"/>
        <v>0</v>
      </c>
      <c r="U34" s="135">
        <f>U35</f>
        <v>0</v>
      </c>
      <c r="V34" s="135">
        <f t="shared" ref="V34" si="164">V35</f>
        <v>0</v>
      </c>
      <c r="W34" s="135">
        <f t="shared" ref="W34" si="165">W35</f>
        <v>0</v>
      </c>
      <c r="X34" s="135">
        <f t="shared" ref="X34" si="166">X35</f>
        <v>0</v>
      </c>
      <c r="Y34" s="134">
        <f t="shared" si="35"/>
        <v>0</v>
      </c>
      <c r="Z34" s="135">
        <f>Z35</f>
        <v>0</v>
      </c>
      <c r="AA34" s="135">
        <f t="shared" ref="AA34" si="167">AA35</f>
        <v>0</v>
      </c>
      <c r="AB34" s="135">
        <f t="shared" ref="AB34" si="168">AB35</f>
        <v>0</v>
      </c>
      <c r="AC34" s="135">
        <f t="shared" ref="AC34" si="169">AC35</f>
        <v>0</v>
      </c>
      <c r="AD34" s="132">
        <f>AD35</f>
        <v>0.48220000000000002</v>
      </c>
      <c r="AE34" s="133">
        <f t="shared" si="36"/>
        <v>0</v>
      </c>
      <c r="AF34" s="133">
        <f t="shared" si="49"/>
        <v>0</v>
      </c>
      <c r="AG34" s="133">
        <f t="shared" si="12"/>
        <v>0</v>
      </c>
      <c r="AH34" s="133">
        <f t="shared" si="13"/>
        <v>0</v>
      </c>
      <c r="AI34" s="133">
        <f t="shared" si="14"/>
        <v>0</v>
      </c>
      <c r="AJ34" s="134">
        <f t="shared" si="37"/>
        <v>0</v>
      </c>
      <c r="AK34" s="135">
        <f>AK35</f>
        <v>0</v>
      </c>
      <c r="AL34" s="135">
        <f t="shared" ref="AL34" si="170">AL35</f>
        <v>0</v>
      </c>
      <c r="AM34" s="135">
        <f t="shared" ref="AM34" si="171">AM35</f>
        <v>0</v>
      </c>
      <c r="AN34" s="135">
        <f t="shared" ref="AN34" si="172">AN35</f>
        <v>0</v>
      </c>
      <c r="AO34" s="134">
        <f t="shared" si="38"/>
        <v>0</v>
      </c>
      <c r="AP34" s="135">
        <f>AP35</f>
        <v>0</v>
      </c>
      <c r="AQ34" s="135">
        <f t="shared" ref="AQ34" si="173">AQ35</f>
        <v>0</v>
      </c>
      <c r="AR34" s="135">
        <f t="shared" ref="AR34" si="174">AR35</f>
        <v>0</v>
      </c>
      <c r="AS34" s="135">
        <f t="shared" ref="AS34" si="175">AS35</f>
        <v>0</v>
      </c>
      <c r="AT34" s="134">
        <f t="shared" si="39"/>
        <v>0</v>
      </c>
      <c r="AU34" s="135">
        <f>AU35</f>
        <v>0</v>
      </c>
      <c r="AV34" s="135">
        <f t="shared" ref="AV34" si="176">AV35</f>
        <v>0</v>
      </c>
      <c r="AW34" s="135">
        <f t="shared" ref="AW34" si="177">AW35</f>
        <v>0</v>
      </c>
      <c r="AX34" s="135">
        <f t="shared" ref="AX34" si="178">AX35</f>
        <v>0</v>
      </c>
      <c r="AY34" s="134">
        <f t="shared" si="40"/>
        <v>0</v>
      </c>
      <c r="AZ34" s="135">
        <f>AZ35</f>
        <v>0</v>
      </c>
      <c r="BA34" s="135">
        <f t="shared" ref="BA34" si="179">BA35</f>
        <v>0</v>
      </c>
      <c r="BB34" s="135">
        <f t="shared" ref="BB34" si="180">BB35</f>
        <v>0</v>
      </c>
      <c r="BC34" s="135">
        <f t="shared" ref="BC34" si="181">BC35</f>
        <v>0</v>
      </c>
    </row>
    <row r="35" spans="1:55" s="54" customFormat="1" ht="47.25">
      <c r="A35" s="93" t="s">
        <v>420</v>
      </c>
      <c r="B35" s="94" t="s">
        <v>421</v>
      </c>
      <c r="C35" s="103" t="s">
        <v>422</v>
      </c>
      <c r="D35" s="132">
        <f>'10'!G34</f>
        <v>0.56900000000000006</v>
      </c>
      <c r="E35" s="133">
        <f t="shared" si="27"/>
        <v>0.23499999999999999</v>
      </c>
      <c r="F35" s="133">
        <f t="shared" si="28"/>
        <v>0</v>
      </c>
      <c r="G35" s="133">
        <f t="shared" si="29"/>
        <v>0</v>
      </c>
      <c r="H35" s="133">
        <f t="shared" si="30"/>
        <v>0.23499999999999999</v>
      </c>
      <c r="I35" s="133">
        <f t="shared" si="31"/>
        <v>0</v>
      </c>
      <c r="J35" s="134">
        <f t="shared" si="32"/>
        <v>0.124</v>
      </c>
      <c r="K35" s="138">
        <v>0</v>
      </c>
      <c r="L35" s="138">
        <v>0</v>
      </c>
      <c r="M35" s="138">
        <v>0.124</v>
      </c>
      <c r="N35" s="138">
        <v>0</v>
      </c>
      <c r="O35" s="134">
        <f t="shared" si="33"/>
        <v>0.111</v>
      </c>
      <c r="P35" s="135">
        <v>0</v>
      </c>
      <c r="Q35" s="135">
        <v>0</v>
      </c>
      <c r="R35" s="135">
        <v>0.111</v>
      </c>
      <c r="S35" s="135">
        <v>0</v>
      </c>
      <c r="T35" s="134">
        <f t="shared" si="34"/>
        <v>0</v>
      </c>
      <c r="U35" s="135">
        <v>0</v>
      </c>
      <c r="V35" s="135">
        <v>0</v>
      </c>
      <c r="W35" s="135">
        <v>0</v>
      </c>
      <c r="X35" s="135">
        <v>0</v>
      </c>
      <c r="Y35" s="134">
        <f t="shared" si="35"/>
        <v>0</v>
      </c>
      <c r="Z35" s="135">
        <v>0</v>
      </c>
      <c r="AA35" s="135">
        <v>0</v>
      </c>
      <c r="AB35" s="135">
        <v>0</v>
      </c>
      <c r="AC35" s="135">
        <v>0</v>
      </c>
      <c r="AD35" s="132">
        <f>'12'!H33</f>
        <v>0.48220000000000002</v>
      </c>
      <c r="AE35" s="133">
        <f t="shared" si="36"/>
        <v>0</v>
      </c>
      <c r="AF35" s="133">
        <f t="shared" si="49"/>
        <v>0</v>
      </c>
      <c r="AG35" s="133">
        <f t="shared" si="12"/>
        <v>0</v>
      </c>
      <c r="AH35" s="133">
        <f t="shared" si="13"/>
        <v>0</v>
      </c>
      <c r="AI35" s="133">
        <f t="shared" si="14"/>
        <v>0</v>
      </c>
      <c r="AJ35" s="134">
        <f t="shared" si="37"/>
        <v>0</v>
      </c>
      <c r="AK35" s="135">
        <v>0</v>
      </c>
      <c r="AL35" s="135">
        <v>0</v>
      </c>
      <c r="AM35" s="135">
        <v>0</v>
      </c>
      <c r="AN35" s="135">
        <v>0</v>
      </c>
      <c r="AO35" s="134">
        <f t="shared" si="38"/>
        <v>0</v>
      </c>
      <c r="AP35" s="135">
        <v>0</v>
      </c>
      <c r="AQ35" s="135">
        <v>0</v>
      </c>
      <c r="AR35" s="135">
        <v>0</v>
      </c>
      <c r="AS35" s="135">
        <v>0</v>
      </c>
      <c r="AT35" s="134">
        <f t="shared" si="39"/>
        <v>0</v>
      </c>
      <c r="AU35" s="135">
        <v>0</v>
      </c>
      <c r="AV35" s="135">
        <v>0</v>
      </c>
      <c r="AW35" s="135">
        <v>0</v>
      </c>
      <c r="AX35" s="135">
        <v>0</v>
      </c>
      <c r="AY35" s="134">
        <f t="shared" si="40"/>
        <v>0</v>
      </c>
      <c r="AZ35" s="135">
        <v>0</v>
      </c>
      <c r="BA35" s="135">
        <v>0</v>
      </c>
      <c r="BB35" s="135">
        <v>0</v>
      </c>
      <c r="BC35" s="135">
        <v>0</v>
      </c>
    </row>
    <row r="36" spans="1:55" s="54" customFormat="1" ht="42.75">
      <c r="A36" s="89" t="s">
        <v>423</v>
      </c>
      <c r="B36" s="95" t="s">
        <v>424</v>
      </c>
      <c r="C36" s="104" t="s">
        <v>385</v>
      </c>
      <c r="D36" s="132">
        <f t="shared" ref="D36" si="182">D37</f>
        <v>2.0990000000000002</v>
      </c>
      <c r="E36" s="133">
        <f t="shared" si="27"/>
        <v>1.6540000000000001</v>
      </c>
      <c r="F36" s="133">
        <f t="shared" si="28"/>
        <v>0</v>
      </c>
      <c r="G36" s="133">
        <f t="shared" si="29"/>
        <v>0</v>
      </c>
      <c r="H36" s="133">
        <f t="shared" si="30"/>
        <v>1.6540000000000001</v>
      </c>
      <c r="I36" s="133">
        <f t="shared" si="31"/>
        <v>0</v>
      </c>
      <c r="J36" s="134">
        <f t="shared" si="32"/>
        <v>0</v>
      </c>
      <c r="K36" s="138">
        <f t="shared" ref="K36:Z36" si="183">K37</f>
        <v>0</v>
      </c>
      <c r="L36" s="138">
        <f t="shared" si="183"/>
        <v>0</v>
      </c>
      <c r="M36" s="138">
        <f t="shared" si="183"/>
        <v>0</v>
      </c>
      <c r="N36" s="138">
        <f t="shared" si="183"/>
        <v>0</v>
      </c>
      <c r="O36" s="134">
        <f t="shared" si="33"/>
        <v>1.6540000000000001</v>
      </c>
      <c r="P36" s="135">
        <f t="shared" si="183"/>
        <v>0</v>
      </c>
      <c r="Q36" s="135">
        <f t="shared" si="183"/>
        <v>0</v>
      </c>
      <c r="R36" s="135">
        <f t="shared" si="183"/>
        <v>1.6540000000000001</v>
      </c>
      <c r="S36" s="135">
        <f t="shared" si="183"/>
        <v>0</v>
      </c>
      <c r="T36" s="134">
        <f t="shared" si="34"/>
        <v>0</v>
      </c>
      <c r="U36" s="135">
        <f t="shared" si="183"/>
        <v>0</v>
      </c>
      <c r="V36" s="135">
        <f t="shared" si="183"/>
        <v>0</v>
      </c>
      <c r="W36" s="135">
        <f t="shared" si="183"/>
        <v>0</v>
      </c>
      <c r="X36" s="135">
        <f t="shared" si="183"/>
        <v>0</v>
      </c>
      <c r="Y36" s="134">
        <f t="shared" si="35"/>
        <v>0</v>
      </c>
      <c r="Z36" s="135">
        <f t="shared" si="183"/>
        <v>0</v>
      </c>
      <c r="AA36" s="135">
        <f t="shared" ref="AA36:AD36" si="184">AA37</f>
        <v>0</v>
      </c>
      <c r="AB36" s="135">
        <f t="shared" si="184"/>
        <v>0</v>
      </c>
      <c r="AC36" s="135">
        <f t="shared" si="184"/>
        <v>0</v>
      </c>
      <c r="AD36" s="132">
        <f t="shared" si="184"/>
        <v>1.7793000000000001</v>
      </c>
      <c r="AE36" s="133">
        <f t="shared" si="36"/>
        <v>0</v>
      </c>
      <c r="AF36" s="133">
        <f t="shared" si="49"/>
        <v>0</v>
      </c>
      <c r="AG36" s="133">
        <f t="shared" si="12"/>
        <v>0</v>
      </c>
      <c r="AH36" s="133">
        <f t="shared" si="13"/>
        <v>0</v>
      </c>
      <c r="AI36" s="133">
        <f t="shared" si="14"/>
        <v>0</v>
      </c>
      <c r="AJ36" s="134">
        <f t="shared" si="37"/>
        <v>0</v>
      </c>
      <c r="AK36" s="135">
        <f t="shared" ref="AK36:AZ36" si="185">AK37</f>
        <v>0</v>
      </c>
      <c r="AL36" s="135">
        <f t="shared" si="185"/>
        <v>0</v>
      </c>
      <c r="AM36" s="135">
        <f t="shared" si="185"/>
        <v>0</v>
      </c>
      <c r="AN36" s="135">
        <f t="shared" si="185"/>
        <v>0</v>
      </c>
      <c r="AO36" s="134">
        <f t="shared" si="38"/>
        <v>0</v>
      </c>
      <c r="AP36" s="135">
        <f t="shared" si="185"/>
        <v>0</v>
      </c>
      <c r="AQ36" s="135">
        <f t="shared" si="185"/>
        <v>0</v>
      </c>
      <c r="AR36" s="135">
        <f t="shared" si="185"/>
        <v>0</v>
      </c>
      <c r="AS36" s="135">
        <f t="shared" si="185"/>
        <v>0</v>
      </c>
      <c r="AT36" s="134">
        <f t="shared" si="39"/>
        <v>0</v>
      </c>
      <c r="AU36" s="135">
        <f t="shared" si="185"/>
        <v>0</v>
      </c>
      <c r="AV36" s="135">
        <f t="shared" si="185"/>
        <v>0</v>
      </c>
      <c r="AW36" s="135">
        <f t="shared" si="185"/>
        <v>0</v>
      </c>
      <c r="AX36" s="135">
        <f t="shared" si="185"/>
        <v>0</v>
      </c>
      <c r="AY36" s="134">
        <f t="shared" si="40"/>
        <v>0</v>
      </c>
      <c r="AZ36" s="135">
        <f t="shared" si="185"/>
        <v>0</v>
      </c>
      <c r="BA36" s="135">
        <f t="shared" ref="BA36:BC36" si="186">BA37</f>
        <v>0</v>
      </c>
      <c r="BB36" s="135">
        <f t="shared" si="186"/>
        <v>0</v>
      </c>
      <c r="BC36" s="135">
        <f t="shared" si="186"/>
        <v>0</v>
      </c>
    </row>
    <row r="37" spans="1:55" s="54" customFormat="1" ht="30">
      <c r="A37" s="96" t="s">
        <v>425</v>
      </c>
      <c r="B37" s="97" t="s">
        <v>426</v>
      </c>
      <c r="C37" s="104" t="s">
        <v>385</v>
      </c>
      <c r="D37" s="132">
        <f>D38+D39</f>
        <v>2.0990000000000002</v>
      </c>
      <c r="E37" s="133">
        <f t="shared" si="27"/>
        <v>1.6540000000000001</v>
      </c>
      <c r="F37" s="133">
        <f t="shared" si="28"/>
        <v>0</v>
      </c>
      <c r="G37" s="133">
        <f t="shared" si="29"/>
        <v>0</v>
      </c>
      <c r="H37" s="133">
        <f t="shared" si="30"/>
        <v>1.6540000000000001</v>
      </c>
      <c r="I37" s="133">
        <f t="shared" si="31"/>
        <v>0</v>
      </c>
      <c r="J37" s="134">
        <f t="shared" si="32"/>
        <v>0</v>
      </c>
      <c r="K37" s="138">
        <f>K38+K39</f>
        <v>0</v>
      </c>
      <c r="L37" s="138">
        <f t="shared" ref="L37:AC37" si="187">L38+L39</f>
        <v>0</v>
      </c>
      <c r="M37" s="138">
        <f t="shared" si="187"/>
        <v>0</v>
      </c>
      <c r="N37" s="138">
        <f t="shared" si="187"/>
        <v>0</v>
      </c>
      <c r="O37" s="138">
        <f t="shared" si="187"/>
        <v>1.6540000000000001</v>
      </c>
      <c r="P37" s="138">
        <f t="shared" si="187"/>
        <v>0</v>
      </c>
      <c r="Q37" s="138">
        <f t="shared" si="187"/>
        <v>0</v>
      </c>
      <c r="R37" s="138">
        <f t="shared" si="187"/>
        <v>1.6540000000000001</v>
      </c>
      <c r="S37" s="138">
        <f t="shared" si="187"/>
        <v>0</v>
      </c>
      <c r="T37" s="138">
        <f t="shared" si="187"/>
        <v>0</v>
      </c>
      <c r="U37" s="138">
        <f t="shared" si="187"/>
        <v>0</v>
      </c>
      <c r="V37" s="138">
        <f t="shared" si="187"/>
        <v>0</v>
      </c>
      <c r="W37" s="138">
        <f t="shared" si="187"/>
        <v>0</v>
      </c>
      <c r="X37" s="138">
        <f t="shared" si="187"/>
        <v>0</v>
      </c>
      <c r="Y37" s="138">
        <f t="shared" si="187"/>
        <v>0</v>
      </c>
      <c r="Z37" s="138">
        <f t="shared" si="187"/>
        <v>0</v>
      </c>
      <c r="AA37" s="138">
        <f t="shared" si="187"/>
        <v>0</v>
      </c>
      <c r="AB37" s="138">
        <f t="shared" si="187"/>
        <v>0</v>
      </c>
      <c r="AC37" s="138">
        <f t="shared" si="187"/>
        <v>0</v>
      </c>
      <c r="AD37" s="132">
        <f>AD38+AD39</f>
        <v>1.7793000000000001</v>
      </c>
      <c r="AE37" s="133">
        <f t="shared" si="36"/>
        <v>0</v>
      </c>
      <c r="AF37" s="133">
        <f t="shared" si="49"/>
        <v>0</v>
      </c>
      <c r="AG37" s="133">
        <f t="shared" si="12"/>
        <v>0</v>
      </c>
      <c r="AH37" s="133">
        <f t="shared" si="13"/>
        <v>0</v>
      </c>
      <c r="AI37" s="133">
        <f t="shared" si="14"/>
        <v>0</v>
      </c>
      <c r="AJ37" s="134">
        <f t="shared" si="37"/>
        <v>0</v>
      </c>
      <c r="AK37" s="138">
        <f>AK38+AK39</f>
        <v>0</v>
      </c>
      <c r="AL37" s="138">
        <f t="shared" ref="AL37" si="188">AL38+AL39</f>
        <v>0</v>
      </c>
      <c r="AM37" s="138">
        <f t="shared" ref="AM37" si="189">AM38+AM39</f>
        <v>0</v>
      </c>
      <c r="AN37" s="138">
        <f t="shared" ref="AN37" si="190">AN38+AN39</f>
        <v>0</v>
      </c>
      <c r="AO37" s="138">
        <f t="shared" ref="AO37" si="191">AO38+AO39</f>
        <v>0</v>
      </c>
      <c r="AP37" s="138">
        <f t="shared" ref="AP37" si="192">AP38+AP39</f>
        <v>0</v>
      </c>
      <c r="AQ37" s="138">
        <f t="shared" ref="AQ37" si="193">AQ38+AQ39</f>
        <v>0</v>
      </c>
      <c r="AR37" s="138">
        <f t="shared" ref="AR37" si="194">AR38+AR39</f>
        <v>0</v>
      </c>
      <c r="AS37" s="138">
        <f t="shared" ref="AS37" si="195">AS38+AS39</f>
        <v>0</v>
      </c>
      <c r="AT37" s="138">
        <f t="shared" ref="AT37" si="196">AT38+AT39</f>
        <v>0</v>
      </c>
      <c r="AU37" s="138">
        <f t="shared" ref="AU37" si="197">AU38+AU39</f>
        <v>0</v>
      </c>
      <c r="AV37" s="138">
        <f t="shared" ref="AV37" si="198">AV38+AV39</f>
        <v>0</v>
      </c>
      <c r="AW37" s="138">
        <f t="shared" ref="AW37" si="199">AW38+AW39</f>
        <v>0</v>
      </c>
      <c r="AX37" s="138">
        <f t="shared" ref="AX37" si="200">AX38+AX39</f>
        <v>0</v>
      </c>
      <c r="AY37" s="138">
        <f t="shared" ref="AY37" si="201">AY38+AY39</f>
        <v>0</v>
      </c>
      <c r="AZ37" s="138">
        <f t="shared" ref="AZ37" si="202">AZ38+AZ39</f>
        <v>0</v>
      </c>
      <c r="BA37" s="138">
        <f t="shared" ref="BA37" si="203">BA38+BA39</f>
        <v>0</v>
      </c>
      <c r="BB37" s="138">
        <f t="shared" ref="BB37" si="204">BB38+BB39</f>
        <v>0</v>
      </c>
      <c r="BC37" s="138">
        <f t="shared" ref="BC37" si="205">BC38+BC39</f>
        <v>0</v>
      </c>
    </row>
    <row r="38" spans="1:55" s="54" customFormat="1" ht="30">
      <c r="A38" s="128" t="s">
        <v>427</v>
      </c>
      <c r="B38" s="129" t="s">
        <v>428</v>
      </c>
      <c r="C38" s="130" t="s">
        <v>273</v>
      </c>
      <c r="D38" s="139">
        <f>'10'!G37</f>
        <v>1.3580000000000001</v>
      </c>
      <c r="E38" s="133">
        <f t="shared" si="27"/>
        <v>1.5680000000000001</v>
      </c>
      <c r="F38" s="133">
        <f t="shared" si="28"/>
        <v>0</v>
      </c>
      <c r="G38" s="133">
        <f t="shared" si="29"/>
        <v>0</v>
      </c>
      <c r="H38" s="133">
        <f t="shared" si="30"/>
        <v>1.5680000000000001</v>
      </c>
      <c r="I38" s="133">
        <f t="shared" si="31"/>
        <v>0</v>
      </c>
      <c r="J38" s="134">
        <f t="shared" si="32"/>
        <v>0</v>
      </c>
      <c r="K38" s="140">
        <v>0</v>
      </c>
      <c r="L38" s="140">
        <v>0</v>
      </c>
      <c r="M38" s="140">
        <v>0</v>
      </c>
      <c r="N38" s="140">
        <v>0</v>
      </c>
      <c r="O38" s="134">
        <f t="shared" si="33"/>
        <v>1.5680000000000001</v>
      </c>
      <c r="P38" s="141">
        <v>0</v>
      </c>
      <c r="Q38" s="141">
        <v>0</v>
      </c>
      <c r="R38" s="141">
        <v>1.5680000000000001</v>
      </c>
      <c r="S38" s="141">
        <v>0</v>
      </c>
      <c r="T38" s="134">
        <f t="shared" si="34"/>
        <v>0</v>
      </c>
      <c r="U38" s="141">
        <v>0</v>
      </c>
      <c r="V38" s="141">
        <v>0</v>
      </c>
      <c r="W38" s="141">
        <v>0</v>
      </c>
      <c r="X38" s="141">
        <v>0</v>
      </c>
      <c r="Y38" s="134">
        <f t="shared" si="35"/>
        <v>0</v>
      </c>
      <c r="Z38" s="141">
        <v>0</v>
      </c>
      <c r="AA38" s="141">
        <v>0</v>
      </c>
      <c r="AB38" s="141">
        <v>0</v>
      </c>
      <c r="AC38" s="141">
        <v>0</v>
      </c>
      <c r="AD38" s="132">
        <f>'12'!H36</f>
        <v>1.1511</v>
      </c>
      <c r="AE38" s="133">
        <f t="shared" si="36"/>
        <v>0</v>
      </c>
      <c r="AF38" s="133">
        <f t="shared" si="49"/>
        <v>0</v>
      </c>
      <c r="AG38" s="133">
        <f t="shared" si="12"/>
        <v>0</v>
      </c>
      <c r="AH38" s="133">
        <f t="shared" si="13"/>
        <v>0</v>
      </c>
      <c r="AI38" s="133">
        <f t="shared" si="14"/>
        <v>0</v>
      </c>
      <c r="AJ38" s="134">
        <f t="shared" si="37"/>
        <v>0</v>
      </c>
      <c r="AK38" s="141">
        <v>0</v>
      </c>
      <c r="AL38" s="141">
        <v>0</v>
      </c>
      <c r="AM38" s="141">
        <v>0</v>
      </c>
      <c r="AN38" s="141">
        <v>0</v>
      </c>
      <c r="AO38" s="134">
        <f t="shared" si="38"/>
        <v>0</v>
      </c>
      <c r="AP38" s="141">
        <v>0</v>
      </c>
      <c r="AQ38" s="141">
        <v>0</v>
      </c>
      <c r="AR38" s="141">
        <v>0</v>
      </c>
      <c r="AS38" s="141">
        <v>0</v>
      </c>
      <c r="AT38" s="134">
        <f t="shared" si="39"/>
        <v>0</v>
      </c>
      <c r="AU38" s="141">
        <v>0</v>
      </c>
      <c r="AV38" s="141">
        <v>0</v>
      </c>
      <c r="AW38" s="141">
        <v>0</v>
      </c>
      <c r="AX38" s="141">
        <v>0</v>
      </c>
      <c r="AY38" s="134">
        <f t="shared" si="40"/>
        <v>0</v>
      </c>
      <c r="AZ38" s="141">
        <v>0</v>
      </c>
      <c r="BA38" s="141">
        <v>0</v>
      </c>
      <c r="BB38" s="141">
        <v>0</v>
      </c>
      <c r="BC38" s="141">
        <v>0</v>
      </c>
    </row>
    <row r="39" spans="1:55" s="54" customFormat="1" ht="34.5" customHeight="1">
      <c r="A39" s="128" t="s">
        <v>1063</v>
      </c>
      <c r="B39" s="129" t="s">
        <v>428</v>
      </c>
      <c r="C39" s="130" t="s">
        <v>1116</v>
      </c>
      <c r="D39" s="139">
        <f>'10'!G38</f>
        <v>0.74099999999999999</v>
      </c>
      <c r="E39" s="133">
        <f t="shared" ref="E39" si="206">J39+O39+T39+Y39</f>
        <v>8.5999999999999993E-2</v>
      </c>
      <c r="F39" s="133">
        <f t="shared" ref="F39" si="207">K39+P39+U39+Z39</f>
        <v>0</v>
      </c>
      <c r="G39" s="133">
        <f t="shared" ref="G39" si="208">L39+Q39+V39+AA39</f>
        <v>0</v>
      </c>
      <c r="H39" s="133">
        <f t="shared" ref="H39" si="209">M39+R39+W39+AB39</f>
        <v>8.5999999999999993E-2</v>
      </c>
      <c r="I39" s="133">
        <f t="shared" ref="I39" si="210">N39+S39+X39+AC39</f>
        <v>0</v>
      </c>
      <c r="J39" s="134">
        <f t="shared" ref="J39" si="211">K39+L39+M39+N39</f>
        <v>0</v>
      </c>
      <c r="K39" s="140">
        <v>0</v>
      </c>
      <c r="L39" s="140">
        <v>0</v>
      </c>
      <c r="M39" s="140">
        <v>0</v>
      </c>
      <c r="N39" s="140">
        <v>0</v>
      </c>
      <c r="O39" s="134">
        <f t="shared" ref="O39" si="212">P39+Q39+R39+S39</f>
        <v>8.5999999999999993E-2</v>
      </c>
      <c r="P39" s="141">
        <v>0</v>
      </c>
      <c r="Q39" s="141">
        <v>0</v>
      </c>
      <c r="R39" s="141">
        <v>8.5999999999999993E-2</v>
      </c>
      <c r="S39" s="141">
        <v>0</v>
      </c>
      <c r="T39" s="134">
        <f t="shared" ref="T39" si="213">U39+V39+W39+X39</f>
        <v>0</v>
      </c>
      <c r="U39" s="141">
        <v>0</v>
      </c>
      <c r="V39" s="141">
        <v>0</v>
      </c>
      <c r="W39" s="141">
        <v>0</v>
      </c>
      <c r="X39" s="141">
        <v>0</v>
      </c>
      <c r="Y39" s="134">
        <f t="shared" ref="Y39" si="214">Z39+AA39+AB39+AC39</f>
        <v>0</v>
      </c>
      <c r="Z39" s="141">
        <v>0</v>
      </c>
      <c r="AA39" s="141">
        <v>0</v>
      </c>
      <c r="AB39" s="141">
        <v>0</v>
      </c>
      <c r="AC39" s="141">
        <v>0</v>
      </c>
      <c r="AD39" s="132">
        <f>'12'!H37</f>
        <v>0.62819999999999998</v>
      </c>
      <c r="AE39" s="133">
        <f t="shared" ref="AE39" si="215">AJ39+AO39+AT39+AY39</f>
        <v>0</v>
      </c>
      <c r="AF39" s="133">
        <f t="shared" ref="AF39" si="216">AK39+AP39+AU39+AZ39</f>
        <v>0</v>
      </c>
      <c r="AG39" s="133">
        <f t="shared" ref="AG39" si="217">AL39+AQ39+AV39+BA39</f>
        <v>0</v>
      </c>
      <c r="AH39" s="133">
        <f t="shared" ref="AH39" si="218">AM39+AR39+AW39+BB39</f>
        <v>0</v>
      </c>
      <c r="AI39" s="133">
        <f t="shared" ref="AI39" si="219">AN39+AS39+AX39+BC39</f>
        <v>0</v>
      </c>
      <c r="AJ39" s="134">
        <f t="shared" ref="AJ39" si="220">AK39+AL39+AM39+AN39</f>
        <v>0</v>
      </c>
      <c r="AK39" s="141">
        <v>0</v>
      </c>
      <c r="AL39" s="141">
        <v>0</v>
      </c>
      <c r="AM39" s="141">
        <v>0</v>
      </c>
      <c r="AN39" s="141">
        <v>0</v>
      </c>
      <c r="AO39" s="134">
        <f t="shared" ref="AO39" si="221">AP39+AQ39+AR39+AS39</f>
        <v>0</v>
      </c>
      <c r="AP39" s="141">
        <v>0</v>
      </c>
      <c r="AQ39" s="141">
        <v>0</v>
      </c>
      <c r="AR39" s="141">
        <v>0</v>
      </c>
      <c r="AS39" s="141">
        <v>0</v>
      </c>
      <c r="AT39" s="134">
        <f t="shared" ref="AT39" si="222">AU39+AV39+AW39+AX39</f>
        <v>0</v>
      </c>
      <c r="AU39" s="141">
        <v>0</v>
      </c>
      <c r="AV39" s="141">
        <v>0</v>
      </c>
      <c r="AW39" s="141">
        <v>0</v>
      </c>
      <c r="AX39" s="141">
        <v>0</v>
      </c>
      <c r="AY39" s="134">
        <f t="shared" ref="AY39" si="223">AZ39+BA39+BB39+BC39</f>
        <v>0</v>
      </c>
      <c r="AZ39" s="141">
        <v>0</v>
      </c>
      <c r="BA39" s="141">
        <v>0</v>
      </c>
      <c r="BB39" s="141">
        <v>0</v>
      </c>
      <c r="BC39" s="141">
        <v>0</v>
      </c>
    </row>
    <row r="40" spans="1:55" s="54" customFormat="1" ht="42.75">
      <c r="A40" s="89" t="s">
        <v>429</v>
      </c>
      <c r="B40" s="90" t="s">
        <v>430</v>
      </c>
      <c r="C40" s="101"/>
      <c r="D40" s="132">
        <f>D41+D42+D43</f>
        <v>3.8360000000000003</v>
      </c>
      <c r="E40" s="133">
        <f t="shared" si="27"/>
        <v>2.1359999999999997</v>
      </c>
      <c r="F40" s="133">
        <f t="shared" si="28"/>
        <v>0</v>
      </c>
      <c r="G40" s="133">
        <f t="shared" si="29"/>
        <v>0</v>
      </c>
      <c r="H40" s="133">
        <f t="shared" si="30"/>
        <v>2.1189999999999998</v>
      </c>
      <c r="I40" s="133">
        <f t="shared" si="31"/>
        <v>1.7000000000000001E-2</v>
      </c>
      <c r="J40" s="134">
        <f t="shared" si="32"/>
        <v>0.09</v>
      </c>
      <c r="K40" s="138">
        <f>K41+K42+K43</f>
        <v>0</v>
      </c>
      <c r="L40" s="138">
        <f t="shared" ref="L40:N40" si="224">L41+L42+L43</f>
        <v>0</v>
      </c>
      <c r="M40" s="138">
        <f t="shared" si="224"/>
        <v>0.09</v>
      </c>
      <c r="N40" s="138">
        <f t="shared" si="224"/>
        <v>0</v>
      </c>
      <c r="O40" s="134">
        <f t="shared" si="33"/>
        <v>2.0459999999999998</v>
      </c>
      <c r="P40" s="135">
        <f>P41+P42+P43</f>
        <v>0</v>
      </c>
      <c r="Q40" s="135">
        <f t="shared" ref="Q40" si="225">Q41+Q42+Q43</f>
        <v>0</v>
      </c>
      <c r="R40" s="135">
        <f t="shared" ref="R40" si="226">R41+R42+R43</f>
        <v>2.0289999999999999</v>
      </c>
      <c r="S40" s="135">
        <f t="shared" ref="S40" si="227">S41+S42+S43</f>
        <v>1.7000000000000001E-2</v>
      </c>
      <c r="T40" s="134">
        <f t="shared" si="34"/>
        <v>0</v>
      </c>
      <c r="U40" s="135">
        <f>U41+U42+U43</f>
        <v>0</v>
      </c>
      <c r="V40" s="135">
        <f t="shared" ref="V40" si="228">V41+V42+V43</f>
        <v>0</v>
      </c>
      <c r="W40" s="135">
        <f t="shared" ref="W40" si="229">W41+W42+W43</f>
        <v>0</v>
      </c>
      <c r="X40" s="135">
        <f t="shared" ref="X40" si="230">X41+X42+X43</f>
        <v>0</v>
      </c>
      <c r="Y40" s="134">
        <f t="shared" si="35"/>
        <v>0</v>
      </c>
      <c r="Z40" s="135">
        <f>Z41+Z42+Z43</f>
        <v>0</v>
      </c>
      <c r="AA40" s="135">
        <f t="shared" ref="AA40" si="231">AA41+AA42+AA43</f>
        <v>0</v>
      </c>
      <c r="AB40" s="135">
        <f t="shared" ref="AB40" si="232">AB41+AB42+AB43</f>
        <v>0</v>
      </c>
      <c r="AC40" s="135">
        <f t="shared" ref="AC40" si="233">AC41+AC42+AC43</f>
        <v>0</v>
      </c>
      <c r="AD40" s="132">
        <f>AD41+AD42+AD43</f>
        <v>3.327</v>
      </c>
      <c r="AE40" s="133">
        <f t="shared" si="36"/>
        <v>0.25029999999999997</v>
      </c>
      <c r="AF40" s="133">
        <f t="shared" si="49"/>
        <v>0.25029999999999997</v>
      </c>
      <c r="AG40" s="133">
        <f t="shared" si="12"/>
        <v>0</v>
      </c>
      <c r="AH40" s="133">
        <f t="shared" si="13"/>
        <v>0</v>
      </c>
      <c r="AI40" s="133">
        <f t="shared" si="14"/>
        <v>0</v>
      </c>
      <c r="AJ40" s="134">
        <f t="shared" si="37"/>
        <v>0.25029999999999997</v>
      </c>
      <c r="AK40" s="135">
        <f>AK41+AK42+AK43</f>
        <v>0.25029999999999997</v>
      </c>
      <c r="AL40" s="135">
        <f t="shared" ref="AL40" si="234">AL41+AL42+AL43</f>
        <v>0</v>
      </c>
      <c r="AM40" s="135">
        <f t="shared" ref="AM40" si="235">AM41+AM42+AM43</f>
        <v>0</v>
      </c>
      <c r="AN40" s="135">
        <f t="shared" ref="AN40" si="236">AN41+AN42+AN43</f>
        <v>0</v>
      </c>
      <c r="AO40" s="134">
        <f t="shared" si="38"/>
        <v>0</v>
      </c>
      <c r="AP40" s="135">
        <f>AP41+AP42+AP43</f>
        <v>0</v>
      </c>
      <c r="AQ40" s="135">
        <f t="shared" ref="AQ40" si="237">AQ41+AQ42+AQ43</f>
        <v>0</v>
      </c>
      <c r="AR40" s="135">
        <f t="shared" ref="AR40" si="238">AR41+AR42+AR43</f>
        <v>0</v>
      </c>
      <c r="AS40" s="135">
        <f t="shared" ref="AS40" si="239">AS41+AS42+AS43</f>
        <v>0</v>
      </c>
      <c r="AT40" s="134">
        <f t="shared" si="39"/>
        <v>0</v>
      </c>
      <c r="AU40" s="135">
        <f>AU41+AU42+AU43</f>
        <v>0</v>
      </c>
      <c r="AV40" s="135">
        <f t="shared" ref="AV40" si="240">AV41+AV42+AV43</f>
        <v>0</v>
      </c>
      <c r="AW40" s="135">
        <f t="shared" ref="AW40" si="241">AW41+AW42+AW43</f>
        <v>0</v>
      </c>
      <c r="AX40" s="135">
        <f t="shared" ref="AX40" si="242">AX41+AX42+AX43</f>
        <v>0</v>
      </c>
      <c r="AY40" s="134">
        <f t="shared" si="40"/>
        <v>0</v>
      </c>
      <c r="AZ40" s="135">
        <f>AZ41+AZ42+AZ43</f>
        <v>0</v>
      </c>
      <c r="BA40" s="135">
        <f t="shared" ref="BA40" si="243">BA41+BA42+BA43</f>
        <v>0</v>
      </c>
      <c r="BB40" s="135">
        <f t="shared" ref="BB40" si="244">BB41+BB42+BB43</f>
        <v>0</v>
      </c>
      <c r="BC40" s="135">
        <f t="shared" ref="BC40" si="245">BC41+BC42+BC43</f>
        <v>0</v>
      </c>
    </row>
    <row r="41" spans="1:55" s="54" customFormat="1" ht="30">
      <c r="A41" s="91" t="s">
        <v>431</v>
      </c>
      <c r="B41" s="99" t="s">
        <v>432</v>
      </c>
      <c r="C41" s="102" t="s">
        <v>433</v>
      </c>
      <c r="D41" s="139">
        <f>'10'!G40</f>
        <v>0.69300000000000006</v>
      </c>
      <c r="E41" s="133">
        <f t="shared" si="27"/>
        <v>0.36499999999999999</v>
      </c>
      <c r="F41" s="133">
        <f t="shared" si="28"/>
        <v>0</v>
      </c>
      <c r="G41" s="133">
        <f t="shared" si="29"/>
        <v>0</v>
      </c>
      <c r="H41" s="133">
        <f t="shared" si="30"/>
        <v>0.36499999999999999</v>
      </c>
      <c r="I41" s="133">
        <f t="shared" si="31"/>
        <v>0</v>
      </c>
      <c r="J41" s="134">
        <f t="shared" si="32"/>
        <v>0</v>
      </c>
      <c r="K41" s="138">
        <v>0</v>
      </c>
      <c r="L41" s="138">
        <v>0</v>
      </c>
      <c r="M41" s="138">
        <v>0</v>
      </c>
      <c r="N41" s="138">
        <v>0</v>
      </c>
      <c r="O41" s="134">
        <f t="shared" si="33"/>
        <v>0.36499999999999999</v>
      </c>
      <c r="P41" s="135">
        <v>0</v>
      </c>
      <c r="Q41" s="135">
        <v>0</v>
      </c>
      <c r="R41" s="135">
        <v>0.36499999999999999</v>
      </c>
      <c r="S41" s="135">
        <v>0</v>
      </c>
      <c r="T41" s="134">
        <f t="shared" si="34"/>
        <v>0</v>
      </c>
      <c r="U41" s="135">
        <v>0</v>
      </c>
      <c r="V41" s="135">
        <v>0</v>
      </c>
      <c r="W41" s="135">
        <v>0</v>
      </c>
      <c r="X41" s="135">
        <v>0</v>
      </c>
      <c r="Y41" s="134">
        <f t="shared" si="35"/>
        <v>0</v>
      </c>
      <c r="Z41" s="135">
        <v>0</v>
      </c>
      <c r="AA41" s="135">
        <v>0</v>
      </c>
      <c r="AB41" s="135">
        <v>0</v>
      </c>
      <c r="AC41" s="135">
        <v>0</v>
      </c>
      <c r="AD41" s="132">
        <f>'12'!H39</f>
        <v>0.60300000000000009</v>
      </c>
      <c r="AE41" s="133">
        <f t="shared" si="36"/>
        <v>5.91E-2</v>
      </c>
      <c r="AF41" s="133">
        <f t="shared" si="49"/>
        <v>5.91E-2</v>
      </c>
      <c r="AG41" s="133">
        <f t="shared" si="12"/>
        <v>0</v>
      </c>
      <c r="AH41" s="133">
        <f t="shared" si="13"/>
        <v>0</v>
      </c>
      <c r="AI41" s="133">
        <f t="shared" si="14"/>
        <v>0</v>
      </c>
      <c r="AJ41" s="134">
        <f t="shared" si="37"/>
        <v>5.91E-2</v>
      </c>
      <c r="AK41" s="135">
        <f>0.0331+0.026</f>
        <v>5.91E-2</v>
      </c>
      <c r="AL41" s="135">
        <v>0</v>
      </c>
      <c r="AM41" s="135">
        <v>0</v>
      </c>
      <c r="AN41" s="135">
        <v>0</v>
      </c>
      <c r="AO41" s="134">
        <f t="shared" si="38"/>
        <v>0</v>
      </c>
      <c r="AP41" s="135">
        <v>0</v>
      </c>
      <c r="AQ41" s="135">
        <v>0</v>
      </c>
      <c r="AR41" s="135">
        <v>0</v>
      </c>
      <c r="AS41" s="135">
        <v>0</v>
      </c>
      <c r="AT41" s="134">
        <f t="shared" si="39"/>
        <v>0</v>
      </c>
      <c r="AU41" s="135">
        <v>0</v>
      </c>
      <c r="AV41" s="135">
        <v>0</v>
      </c>
      <c r="AW41" s="135">
        <v>0</v>
      </c>
      <c r="AX41" s="135">
        <v>0</v>
      </c>
      <c r="AY41" s="134">
        <f t="shared" si="40"/>
        <v>0</v>
      </c>
      <c r="AZ41" s="135">
        <v>0</v>
      </c>
      <c r="BA41" s="135">
        <v>0</v>
      </c>
      <c r="BB41" s="135">
        <v>0</v>
      </c>
      <c r="BC41" s="135">
        <v>0</v>
      </c>
    </row>
    <row r="42" spans="1:55" s="54" customFormat="1" ht="30">
      <c r="A42" s="91" t="s">
        <v>444</v>
      </c>
      <c r="B42" s="99" t="s">
        <v>435</v>
      </c>
      <c r="C42" s="102" t="s">
        <v>436</v>
      </c>
      <c r="D42" s="139">
        <f>'10'!G41</f>
        <v>0.12499999999999999</v>
      </c>
      <c r="E42" s="133">
        <f t="shared" si="27"/>
        <v>6.8000000000000005E-2</v>
      </c>
      <c r="F42" s="133">
        <f t="shared" si="28"/>
        <v>0</v>
      </c>
      <c r="G42" s="133">
        <f t="shared" si="29"/>
        <v>0</v>
      </c>
      <c r="H42" s="133">
        <f t="shared" si="30"/>
        <v>6.4000000000000001E-2</v>
      </c>
      <c r="I42" s="133">
        <f t="shared" si="31"/>
        <v>4.0000000000000001E-3</v>
      </c>
      <c r="J42" s="134">
        <f t="shared" si="32"/>
        <v>0</v>
      </c>
      <c r="K42" s="138">
        <v>0</v>
      </c>
      <c r="L42" s="138">
        <v>0</v>
      </c>
      <c r="M42" s="138">
        <v>0</v>
      </c>
      <c r="N42" s="138">
        <v>0</v>
      </c>
      <c r="O42" s="134">
        <f t="shared" si="33"/>
        <v>6.8000000000000005E-2</v>
      </c>
      <c r="P42" s="135">
        <v>0</v>
      </c>
      <c r="Q42" s="135">
        <v>0</v>
      </c>
      <c r="R42" s="135">
        <v>6.4000000000000001E-2</v>
      </c>
      <c r="S42" s="135">
        <v>4.0000000000000001E-3</v>
      </c>
      <c r="T42" s="134">
        <f t="shared" si="34"/>
        <v>0</v>
      </c>
      <c r="U42" s="135">
        <v>0</v>
      </c>
      <c r="V42" s="135">
        <v>0</v>
      </c>
      <c r="W42" s="135">
        <v>0</v>
      </c>
      <c r="X42" s="135">
        <v>0</v>
      </c>
      <c r="Y42" s="134">
        <f t="shared" si="35"/>
        <v>0</v>
      </c>
      <c r="Z42" s="135">
        <v>0</v>
      </c>
      <c r="AA42" s="135">
        <v>0</v>
      </c>
      <c r="AB42" s="135">
        <v>0</v>
      </c>
      <c r="AC42" s="135">
        <v>0</v>
      </c>
      <c r="AD42" s="132">
        <f>'12'!H40</f>
        <v>0.109</v>
      </c>
      <c r="AE42" s="133">
        <f t="shared" si="36"/>
        <v>5.91E-2</v>
      </c>
      <c r="AF42" s="133">
        <f t="shared" si="49"/>
        <v>5.91E-2</v>
      </c>
      <c r="AG42" s="133">
        <f t="shared" si="12"/>
        <v>0</v>
      </c>
      <c r="AH42" s="133">
        <f t="shared" si="13"/>
        <v>0</v>
      </c>
      <c r="AI42" s="133">
        <f t="shared" si="14"/>
        <v>0</v>
      </c>
      <c r="AJ42" s="134">
        <f t="shared" si="37"/>
        <v>5.91E-2</v>
      </c>
      <c r="AK42" s="135">
        <f>0.0331+0.026</f>
        <v>5.91E-2</v>
      </c>
      <c r="AL42" s="135">
        <v>0</v>
      </c>
      <c r="AM42" s="135">
        <v>0</v>
      </c>
      <c r="AN42" s="135">
        <v>0</v>
      </c>
      <c r="AO42" s="134">
        <f t="shared" si="38"/>
        <v>0</v>
      </c>
      <c r="AP42" s="135">
        <v>0</v>
      </c>
      <c r="AQ42" s="135">
        <v>0</v>
      </c>
      <c r="AR42" s="135">
        <v>0</v>
      </c>
      <c r="AS42" s="135">
        <v>0</v>
      </c>
      <c r="AT42" s="134">
        <f t="shared" si="39"/>
        <v>0</v>
      </c>
      <c r="AU42" s="135">
        <v>0</v>
      </c>
      <c r="AV42" s="135">
        <v>0</v>
      </c>
      <c r="AW42" s="135">
        <v>0</v>
      </c>
      <c r="AX42" s="135">
        <v>0</v>
      </c>
      <c r="AY42" s="134">
        <f t="shared" si="40"/>
        <v>0</v>
      </c>
      <c r="AZ42" s="135">
        <v>0</v>
      </c>
      <c r="BA42" s="135">
        <v>0</v>
      </c>
      <c r="BB42" s="135">
        <v>0</v>
      </c>
      <c r="BC42" s="135">
        <v>0</v>
      </c>
    </row>
    <row r="43" spans="1:55" s="54" customFormat="1" ht="30">
      <c r="A43" s="91" t="s">
        <v>434</v>
      </c>
      <c r="B43" s="99" t="s">
        <v>438</v>
      </c>
      <c r="C43" s="102" t="s">
        <v>439</v>
      </c>
      <c r="D43" s="139">
        <f>'10'!G42</f>
        <v>3.0180000000000002</v>
      </c>
      <c r="E43" s="133">
        <f t="shared" si="27"/>
        <v>1.7030000000000001</v>
      </c>
      <c r="F43" s="133">
        <f t="shared" si="28"/>
        <v>0</v>
      </c>
      <c r="G43" s="133">
        <f t="shared" si="29"/>
        <v>0</v>
      </c>
      <c r="H43" s="133">
        <f t="shared" si="30"/>
        <v>1.6900000000000002</v>
      </c>
      <c r="I43" s="133">
        <f t="shared" si="31"/>
        <v>1.2999999999999999E-2</v>
      </c>
      <c r="J43" s="134">
        <f t="shared" si="32"/>
        <v>0.09</v>
      </c>
      <c r="K43" s="138">
        <v>0</v>
      </c>
      <c r="L43" s="138">
        <v>0</v>
      </c>
      <c r="M43" s="138">
        <v>0.09</v>
      </c>
      <c r="N43" s="138">
        <v>0</v>
      </c>
      <c r="O43" s="134">
        <f t="shared" si="33"/>
        <v>1.613</v>
      </c>
      <c r="P43" s="135">
        <v>0</v>
      </c>
      <c r="Q43" s="135">
        <v>0</v>
      </c>
      <c r="R43" s="135">
        <v>1.6</v>
      </c>
      <c r="S43" s="135">
        <v>1.2999999999999999E-2</v>
      </c>
      <c r="T43" s="134">
        <f t="shared" si="34"/>
        <v>0</v>
      </c>
      <c r="U43" s="135">
        <v>0</v>
      </c>
      <c r="V43" s="135">
        <v>0</v>
      </c>
      <c r="W43" s="135">
        <v>0</v>
      </c>
      <c r="X43" s="135">
        <v>0</v>
      </c>
      <c r="Y43" s="134">
        <f t="shared" si="35"/>
        <v>0</v>
      </c>
      <c r="Z43" s="135">
        <v>0</v>
      </c>
      <c r="AA43" s="135">
        <v>0</v>
      </c>
      <c r="AB43" s="135">
        <v>0</v>
      </c>
      <c r="AC43" s="135">
        <v>0</v>
      </c>
      <c r="AD43" s="132">
        <f>'12'!H41</f>
        <v>2.6149999999999998</v>
      </c>
      <c r="AE43" s="133">
        <f t="shared" si="36"/>
        <v>0.1321</v>
      </c>
      <c r="AF43" s="133">
        <f t="shared" si="49"/>
        <v>0.1321</v>
      </c>
      <c r="AG43" s="133">
        <f t="shared" si="12"/>
        <v>0</v>
      </c>
      <c r="AH43" s="133">
        <f t="shared" si="13"/>
        <v>0</v>
      </c>
      <c r="AI43" s="133">
        <f t="shared" si="14"/>
        <v>0</v>
      </c>
      <c r="AJ43" s="134">
        <f t="shared" si="37"/>
        <v>0.1321</v>
      </c>
      <c r="AK43" s="135">
        <f>0.099+0.0331</f>
        <v>0.1321</v>
      </c>
      <c r="AL43" s="135">
        <v>0</v>
      </c>
      <c r="AM43" s="135">
        <v>0</v>
      </c>
      <c r="AN43" s="135">
        <v>0</v>
      </c>
      <c r="AO43" s="134">
        <f t="shared" si="38"/>
        <v>0</v>
      </c>
      <c r="AP43" s="135">
        <v>0</v>
      </c>
      <c r="AQ43" s="135">
        <v>0</v>
      </c>
      <c r="AR43" s="135">
        <v>0</v>
      </c>
      <c r="AS43" s="135">
        <v>0</v>
      </c>
      <c r="AT43" s="134">
        <f t="shared" si="39"/>
        <v>0</v>
      </c>
      <c r="AU43" s="135">
        <v>0</v>
      </c>
      <c r="AV43" s="135">
        <v>0</v>
      </c>
      <c r="AW43" s="135">
        <v>0</v>
      </c>
      <c r="AX43" s="135">
        <v>0</v>
      </c>
      <c r="AY43" s="134">
        <f t="shared" si="40"/>
        <v>0</v>
      </c>
      <c r="AZ43" s="135">
        <v>0</v>
      </c>
      <c r="BA43" s="135">
        <v>0</v>
      </c>
      <c r="BB43" s="135">
        <v>0</v>
      </c>
      <c r="BC43" s="135">
        <v>0</v>
      </c>
    </row>
    <row r="44" spans="1:55" s="54" customFormat="1" ht="28.5">
      <c r="A44" s="108"/>
      <c r="B44" s="90" t="s">
        <v>441</v>
      </c>
      <c r="C44" s="101"/>
      <c r="D44" s="132">
        <v>0</v>
      </c>
      <c r="E44" s="133">
        <f t="shared" si="27"/>
        <v>0</v>
      </c>
      <c r="F44" s="133">
        <f t="shared" si="28"/>
        <v>0</v>
      </c>
      <c r="G44" s="133">
        <f t="shared" si="29"/>
        <v>0</v>
      </c>
      <c r="H44" s="133">
        <f t="shared" si="30"/>
        <v>0</v>
      </c>
      <c r="I44" s="133">
        <f t="shared" si="31"/>
        <v>0</v>
      </c>
      <c r="J44" s="134">
        <f t="shared" si="32"/>
        <v>0</v>
      </c>
      <c r="K44" s="138">
        <v>0</v>
      </c>
      <c r="L44" s="138">
        <v>0</v>
      </c>
      <c r="M44" s="138">
        <v>0</v>
      </c>
      <c r="N44" s="138">
        <v>0</v>
      </c>
      <c r="O44" s="134">
        <f t="shared" si="33"/>
        <v>0</v>
      </c>
      <c r="P44" s="135">
        <v>0</v>
      </c>
      <c r="Q44" s="135">
        <v>0</v>
      </c>
      <c r="R44" s="135">
        <v>0</v>
      </c>
      <c r="S44" s="135">
        <v>0</v>
      </c>
      <c r="T44" s="134">
        <f t="shared" si="34"/>
        <v>0</v>
      </c>
      <c r="U44" s="135">
        <v>0</v>
      </c>
      <c r="V44" s="135">
        <v>0</v>
      </c>
      <c r="W44" s="135">
        <v>0</v>
      </c>
      <c r="X44" s="135">
        <v>0</v>
      </c>
      <c r="Y44" s="134">
        <f t="shared" si="35"/>
        <v>0</v>
      </c>
      <c r="Z44" s="135">
        <v>0</v>
      </c>
      <c r="AA44" s="135">
        <v>0</v>
      </c>
      <c r="AB44" s="135">
        <v>0</v>
      </c>
      <c r="AC44" s="135">
        <v>0</v>
      </c>
      <c r="AD44" s="132">
        <v>0</v>
      </c>
      <c r="AE44" s="133">
        <f t="shared" si="36"/>
        <v>0</v>
      </c>
      <c r="AF44" s="133">
        <f t="shared" si="49"/>
        <v>0</v>
      </c>
      <c r="AG44" s="133">
        <f t="shared" si="12"/>
        <v>0</v>
      </c>
      <c r="AH44" s="133">
        <f t="shared" si="13"/>
        <v>0</v>
      </c>
      <c r="AI44" s="133">
        <f t="shared" si="14"/>
        <v>0</v>
      </c>
      <c r="AJ44" s="134">
        <f t="shared" si="37"/>
        <v>0</v>
      </c>
      <c r="AK44" s="135">
        <v>0</v>
      </c>
      <c r="AL44" s="135">
        <v>0</v>
      </c>
      <c r="AM44" s="135">
        <v>0</v>
      </c>
      <c r="AN44" s="135">
        <v>0</v>
      </c>
      <c r="AO44" s="134">
        <f t="shared" si="38"/>
        <v>0</v>
      </c>
      <c r="AP44" s="135">
        <v>0</v>
      </c>
      <c r="AQ44" s="135">
        <v>0</v>
      </c>
      <c r="AR44" s="135">
        <v>0</v>
      </c>
      <c r="AS44" s="135">
        <v>0</v>
      </c>
      <c r="AT44" s="134">
        <f t="shared" si="39"/>
        <v>0</v>
      </c>
      <c r="AU44" s="135">
        <v>0</v>
      </c>
      <c r="AV44" s="135">
        <v>0</v>
      </c>
      <c r="AW44" s="135">
        <v>0</v>
      </c>
      <c r="AX44" s="135">
        <v>0</v>
      </c>
      <c r="AY44" s="134">
        <f t="shared" si="40"/>
        <v>0</v>
      </c>
      <c r="AZ44" s="135">
        <v>0</v>
      </c>
      <c r="BA44" s="135">
        <v>0</v>
      </c>
      <c r="BB44" s="135">
        <v>0</v>
      </c>
      <c r="BC44" s="135">
        <v>0</v>
      </c>
    </row>
    <row r="45" spans="1:55" s="67" customFormat="1" ht="28.5" customHeight="1">
      <c r="A45" s="403" t="s">
        <v>31</v>
      </c>
      <c r="B45" s="404"/>
      <c r="C45" s="405"/>
      <c r="D45" s="136">
        <f>D18</f>
        <v>13.34</v>
      </c>
      <c r="E45" s="136">
        <f>E18</f>
        <v>6.899</v>
      </c>
      <c r="F45" s="136">
        <f t="shared" ref="F45:BC45" si="246">F18</f>
        <v>0.11</v>
      </c>
      <c r="G45" s="136">
        <f t="shared" si="246"/>
        <v>0</v>
      </c>
      <c r="H45" s="136">
        <f t="shared" si="246"/>
        <v>6.6909999999999998</v>
      </c>
      <c r="I45" s="136">
        <f t="shared" si="246"/>
        <v>9.8000000000000004E-2</v>
      </c>
      <c r="J45" s="136">
        <f t="shared" si="246"/>
        <v>1.5450000000000002</v>
      </c>
      <c r="K45" s="136">
        <f t="shared" si="246"/>
        <v>0</v>
      </c>
      <c r="L45" s="136">
        <f t="shared" si="246"/>
        <v>0</v>
      </c>
      <c r="M45" s="136">
        <f t="shared" si="246"/>
        <v>1.5450000000000002</v>
      </c>
      <c r="N45" s="136">
        <f t="shared" si="246"/>
        <v>0</v>
      </c>
      <c r="O45" s="136">
        <f t="shared" si="246"/>
        <v>5.3540000000000001</v>
      </c>
      <c r="P45" s="136">
        <f t="shared" si="246"/>
        <v>0.11</v>
      </c>
      <c r="Q45" s="136">
        <f t="shared" si="246"/>
        <v>0</v>
      </c>
      <c r="R45" s="136">
        <f t="shared" si="246"/>
        <v>5.1459999999999999</v>
      </c>
      <c r="S45" s="136">
        <f t="shared" si="246"/>
        <v>9.8000000000000004E-2</v>
      </c>
      <c r="T45" s="136">
        <f t="shared" si="246"/>
        <v>0</v>
      </c>
      <c r="U45" s="136">
        <f t="shared" si="246"/>
        <v>0</v>
      </c>
      <c r="V45" s="136">
        <f t="shared" si="246"/>
        <v>0</v>
      </c>
      <c r="W45" s="136">
        <f t="shared" si="246"/>
        <v>0</v>
      </c>
      <c r="X45" s="136">
        <f t="shared" si="246"/>
        <v>0</v>
      </c>
      <c r="Y45" s="136">
        <f t="shared" si="246"/>
        <v>0</v>
      </c>
      <c r="Z45" s="136">
        <f t="shared" si="246"/>
        <v>0</v>
      </c>
      <c r="AA45" s="136">
        <f t="shared" si="246"/>
        <v>0</v>
      </c>
      <c r="AB45" s="136">
        <f t="shared" si="246"/>
        <v>0</v>
      </c>
      <c r="AC45" s="136">
        <f t="shared" si="246"/>
        <v>0</v>
      </c>
      <c r="AD45" s="136">
        <f t="shared" si="246"/>
        <v>11.509500000000001</v>
      </c>
      <c r="AE45" s="136">
        <f t="shared" si="246"/>
        <v>0.48359999999999997</v>
      </c>
      <c r="AF45" s="136">
        <f t="shared" si="246"/>
        <v>0.44879999999999998</v>
      </c>
      <c r="AG45" s="136">
        <f t="shared" si="246"/>
        <v>0</v>
      </c>
      <c r="AH45" s="136">
        <f t="shared" si="246"/>
        <v>1.2E-2</v>
      </c>
      <c r="AI45" s="136">
        <f t="shared" si="246"/>
        <v>2.2800000000000001E-2</v>
      </c>
      <c r="AJ45" s="136">
        <f t="shared" si="246"/>
        <v>0.48359999999999997</v>
      </c>
      <c r="AK45" s="136">
        <f t="shared" si="246"/>
        <v>0.44879999999999998</v>
      </c>
      <c r="AL45" s="136">
        <f t="shared" si="246"/>
        <v>0</v>
      </c>
      <c r="AM45" s="136">
        <f t="shared" si="246"/>
        <v>1.2E-2</v>
      </c>
      <c r="AN45" s="136">
        <f t="shared" si="246"/>
        <v>2.2800000000000001E-2</v>
      </c>
      <c r="AO45" s="136">
        <f t="shared" si="246"/>
        <v>0</v>
      </c>
      <c r="AP45" s="136">
        <f t="shared" si="246"/>
        <v>0</v>
      </c>
      <c r="AQ45" s="136">
        <f t="shared" si="246"/>
        <v>0</v>
      </c>
      <c r="AR45" s="136">
        <f t="shared" si="246"/>
        <v>0</v>
      </c>
      <c r="AS45" s="136">
        <f t="shared" si="246"/>
        <v>0</v>
      </c>
      <c r="AT45" s="136">
        <f t="shared" si="246"/>
        <v>0</v>
      </c>
      <c r="AU45" s="136">
        <f t="shared" si="246"/>
        <v>0</v>
      </c>
      <c r="AV45" s="136">
        <f t="shared" si="246"/>
        <v>0</v>
      </c>
      <c r="AW45" s="136">
        <f t="shared" si="246"/>
        <v>0</v>
      </c>
      <c r="AX45" s="136">
        <f t="shared" si="246"/>
        <v>0</v>
      </c>
      <c r="AY45" s="136">
        <f t="shared" si="246"/>
        <v>0</v>
      </c>
      <c r="AZ45" s="136">
        <f t="shared" si="246"/>
        <v>0</v>
      </c>
      <c r="BA45" s="136">
        <f t="shared" si="246"/>
        <v>0</v>
      </c>
      <c r="BB45" s="136">
        <f t="shared" si="246"/>
        <v>0</v>
      </c>
      <c r="BC45" s="136">
        <f t="shared" si="246"/>
        <v>0</v>
      </c>
    </row>
    <row r="46" spans="1:55" ht="15" customHeight="1">
      <c r="A46" s="2"/>
    </row>
    <row r="47" spans="1:55" ht="15" customHeight="1">
      <c r="A47" s="2"/>
    </row>
  </sheetData>
  <mergeCells count="30">
    <mergeCell ref="A9:BC9"/>
    <mergeCell ref="O15:S15"/>
    <mergeCell ref="T15:X15"/>
    <mergeCell ref="Y15:AC15"/>
    <mergeCell ref="AD15:AD16"/>
    <mergeCell ref="AE15:AI15"/>
    <mergeCell ref="AJ15:AN15"/>
    <mergeCell ref="A13:A16"/>
    <mergeCell ref="B13:B16"/>
    <mergeCell ref="C13:C16"/>
    <mergeCell ref="D13:AC13"/>
    <mergeCell ref="AD13:BC13"/>
    <mergeCell ref="E14:AC14"/>
    <mergeCell ref="AE14:BC14"/>
    <mergeCell ref="D15:D16"/>
    <mergeCell ref="E15:I15"/>
    <mergeCell ref="AO15:AS15"/>
    <mergeCell ref="AT15:AX15"/>
    <mergeCell ref="AY15:BC15"/>
    <mergeCell ref="A45:C45"/>
    <mergeCell ref="A10:BC10"/>
    <mergeCell ref="J15:N15"/>
    <mergeCell ref="AZ1:BC1"/>
    <mergeCell ref="AZ2:BC2"/>
    <mergeCell ref="AZ3:BC3"/>
    <mergeCell ref="A8:BC8"/>
    <mergeCell ref="A7:BC7"/>
    <mergeCell ref="A6:BC6"/>
    <mergeCell ref="A5:BC5"/>
    <mergeCell ref="A4:BC4"/>
  </mergeCells>
  <pageMargins left="0.23622047244094491" right="0.15748031496062992" top="0.27559055118110237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10" zoomScale="70" zoomScaleNormal="70" workbookViewId="0">
      <selection activeCell="A6" sqref="A6:BE6"/>
    </sheetView>
  </sheetViews>
  <sheetFormatPr defaultRowHeight="15"/>
  <cols>
    <col min="1" max="1" width="12.28515625" customWidth="1"/>
    <col min="2" max="2" width="52.28515625" customWidth="1"/>
    <col min="3" max="3" width="14.85546875" customWidth="1"/>
    <col min="4" max="7" width="9.5703125" bestFit="1" customWidth="1"/>
    <col min="20" max="23" width="9.5703125" bestFit="1" customWidth="1"/>
    <col min="24" max="29" width="9.5703125" customWidth="1"/>
    <col min="30" max="30" width="10.28515625" customWidth="1"/>
    <col min="32" max="35" width="9.5703125" bestFit="1" customWidth="1"/>
    <col min="38" max="41" width="9.5703125" bestFit="1" customWidth="1"/>
    <col min="42" max="42" width="11.42578125" customWidth="1"/>
    <col min="43" max="43" width="11.5703125" customWidth="1"/>
    <col min="44" max="44" width="11.28515625" customWidth="1"/>
    <col min="45" max="45" width="10.7109375" customWidth="1"/>
    <col min="46" max="46" width="10.5703125" customWidth="1"/>
    <col min="47" max="47" width="10.7109375" customWidth="1"/>
    <col min="48" max="48" width="11.5703125" customWidth="1"/>
    <col min="49" max="49" width="11.140625" customWidth="1"/>
    <col min="50" max="50" width="11.42578125" customWidth="1"/>
    <col min="51" max="51" width="12.85546875" customWidth="1"/>
    <col min="52" max="53" width="9.5703125" hidden="1" customWidth="1"/>
    <col min="54" max="54" width="12.85546875" customWidth="1"/>
    <col min="55" max="55" width="15" customWidth="1"/>
    <col min="56" max="57" width="9.140625" hidden="1" customWidth="1"/>
  </cols>
  <sheetData>
    <row r="1" spans="1:58" ht="16.5" customHeight="1">
      <c r="AW1" s="416" t="s">
        <v>254</v>
      </c>
      <c r="AX1" s="416"/>
      <c r="AY1" s="416"/>
      <c r="AZ1" s="416"/>
      <c r="BA1" s="416"/>
      <c r="BB1" s="416"/>
      <c r="BC1" s="416"/>
      <c r="BD1" s="416"/>
      <c r="BE1" s="416"/>
    </row>
    <row r="2" spans="1:58" ht="15.75" customHeight="1">
      <c r="AW2" s="416" t="s">
        <v>19</v>
      </c>
      <c r="AX2" s="416"/>
      <c r="AY2" s="416"/>
      <c r="AZ2" s="416"/>
      <c r="BA2" s="416"/>
      <c r="BB2" s="416"/>
      <c r="BC2" s="416"/>
      <c r="BD2" s="416"/>
      <c r="BE2" s="416"/>
    </row>
    <row r="3" spans="1:58" ht="20.25" customHeight="1">
      <c r="AW3" s="416" t="s">
        <v>20</v>
      </c>
      <c r="AX3" s="416"/>
      <c r="AY3" s="416"/>
      <c r="AZ3" s="416"/>
      <c r="BA3" s="416"/>
      <c r="BB3" s="416"/>
      <c r="BC3" s="416"/>
      <c r="BD3" s="416"/>
      <c r="BE3" s="416"/>
    </row>
    <row r="4" spans="1:58" ht="18.75" customHeight="1">
      <c r="A4" s="347" t="s">
        <v>255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</row>
    <row r="5" spans="1:58" ht="12.75" customHeight="1">
      <c r="A5" s="347" t="s">
        <v>1137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</row>
    <row r="6" spans="1:58" ht="18" customHeight="1">
      <c r="A6" s="347" t="s">
        <v>305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</row>
    <row r="7" spans="1:58" ht="18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</row>
    <row r="8" spans="1:58" ht="16.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</row>
    <row r="9" spans="1:58" ht="16.5" customHeight="1">
      <c r="A9" s="347" t="s">
        <v>1114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</row>
    <row r="10" spans="1:58" s="17" customFormat="1" ht="21" customHeight="1">
      <c r="A10" s="402" t="s">
        <v>22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</row>
    <row r="11" spans="1:58" ht="21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8" s="66" customFormat="1" ht="15" customHeight="1">
      <c r="A12" s="377" t="s">
        <v>0</v>
      </c>
      <c r="B12" s="377" t="s">
        <v>1</v>
      </c>
      <c r="C12" s="377" t="s">
        <v>2</v>
      </c>
      <c r="D12" s="377" t="s">
        <v>256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82"/>
    </row>
    <row r="13" spans="1:58" s="66" customFormat="1" ht="60" customHeight="1">
      <c r="A13" s="377"/>
      <c r="B13" s="377"/>
      <c r="C13" s="377"/>
      <c r="D13" s="377" t="s">
        <v>74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 t="s">
        <v>75</v>
      </c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 t="s">
        <v>76</v>
      </c>
      <c r="AG13" s="377"/>
      <c r="AH13" s="377"/>
      <c r="AI13" s="377"/>
      <c r="AJ13" s="377"/>
      <c r="AK13" s="377"/>
      <c r="AL13" s="377" t="s">
        <v>77</v>
      </c>
      <c r="AM13" s="377"/>
      <c r="AN13" s="377"/>
      <c r="AO13" s="377"/>
      <c r="AP13" s="377" t="s">
        <v>78</v>
      </c>
      <c r="AQ13" s="377"/>
      <c r="AR13" s="377"/>
      <c r="AS13" s="377"/>
      <c r="AT13" s="377"/>
      <c r="AU13" s="377"/>
      <c r="AV13" s="377" t="s">
        <v>79</v>
      </c>
      <c r="AW13" s="377"/>
      <c r="AX13" s="377"/>
      <c r="AY13" s="377"/>
      <c r="AZ13" s="377" t="s">
        <v>80</v>
      </c>
      <c r="BA13" s="377"/>
      <c r="BB13" s="377"/>
      <c r="BC13" s="377"/>
      <c r="BD13" s="377"/>
      <c r="BE13" s="377"/>
      <c r="BF13" s="82"/>
    </row>
    <row r="14" spans="1:58" s="66" customFormat="1" ht="205.5" customHeight="1">
      <c r="A14" s="377"/>
      <c r="B14" s="377"/>
      <c r="C14" s="377"/>
      <c r="D14" s="406" t="s">
        <v>310</v>
      </c>
      <c r="E14" s="417"/>
      <c r="F14" s="406" t="s">
        <v>311</v>
      </c>
      <c r="G14" s="407"/>
      <c r="H14" s="406" t="s">
        <v>312</v>
      </c>
      <c r="I14" s="410"/>
      <c r="J14" s="410"/>
      <c r="K14" s="407"/>
      <c r="L14" s="406" t="s">
        <v>313</v>
      </c>
      <c r="M14" s="407"/>
      <c r="N14" s="406" t="s">
        <v>314</v>
      </c>
      <c r="O14" s="407"/>
      <c r="P14" s="406" t="s">
        <v>315</v>
      </c>
      <c r="Q14" s="407"/>
      <c r="R14" s="406" t="s">
        <v>316</v>
      </c>
      <c r="S14" s="407"/>
      <c r="T14" s="406" t="s">
        <v>334</v>
      </c>
      <c r="U14" s="409"/>
      <c r="V14" s="408" t="s">
        <v>335</v>
      </c>
      <c r="W14" s="410"/>
      <c r="X14" s="410"/>
      <c r="Y14" s="409"/>
      <c r="Z14" s="408" t="s">
        <v>336</v>
      </c>
      <c r="AA14" s="410"/>
      <c r="AB14" s="408" t="s">
        <v>337</v>
      </c>
      <c r="AC14" s="409"/>
      <c r="AD14" s="408" t="s">
        <v>338</v>
      </c>
      <c r="AE14" s="407"/>
      <c r="AF14" s="408" t="s">
        <v>351</v>
      </c>
      <c r="AG14" s="407"/>
      <c r="AH14" s="408" t="s">
        <v>352</v>
      </c>
      <c r="AI14" s="407"/>
      <c r="AJ14" s="408" t="s">
        <v>353</v>
      </c>
      <c r="AK14" s="407"/>
      <c r="AL14" s="406" t="s">
        <v>360</v>
      </c>
      <c r="AM14" s="409"/>
      <c r="AN14" s="408" t="s">
        <v>361</v>
      </c>
      <c r="AO14" s="407"/>
      <c r="AP14" s="408" t="s">
        <v>366</v>
      </c>
      <c r="AQ14" s="407"/>
      <c r="AR14" s="408" t="s">
        <v>367</v>
      </c>
      <c r="AS14" s="407"/>
      <c r="AT14" s="408" t="s">
        <v>368</v>
      </c>
      <c r="AU14" s="407"/>
      <c r="AV14" s="406" t="s">
        <v>375</v>
      </c>
      <c r="AW14" s="409"/>
      <c r="AX14" s="408" t="s">
        <v>376</v>
      </c>
      <c r="AY14" s="407"/>
      <c r="AZ14" s="406" t="s">
        <v>381</v>
      </c>
      <c r="BA14" s="409"/>
      <c r="BB14" s="408" t="s">
        <v>381</v>
      </c>
      <c r="BC14" s="407"/>
      <c r="BD14" s="377"/>
      <c r="BE14" s="377"/>
    </row>
    <row r="15" spans="1:58" s="66" customFormat="1" ht="17.25" customHeight="1">
      <c r="A15" s="377"/>
      <c r="B15" s="377"/>
      <c r="C15" s="377"/>
      <c r="D15" s="406"/>
      <c r="E15" s="407"/>
      <c r="F15" s="406"/>
      <c r="G15" s="407"/>
      <c r="H15" s="413" t="s">
        <v>317</v>
      </c>
      <c r="I15" s="414"/>
      <c r="J15" s="415">
        <v>0.4</v>
      </c>
      <c r="K15" s="415"/>
      <c r="L15" s="406"/>
      <c r="M15" s="407"/>
      <c r="N15" s="406"/>
      <c r="O15" s="407"/>
      <c r="P15" s="406"/>
      <c r="Q15" s="407"/>
      <c r="R15" s="406"/>
      <c r="S15" s="407"/>
      <c r="T15" s="75"/>
      <c r="U15" s="75"/>
      <c r="V15" s="411" t="s">
        <v>446</v>
      </c>
      <c r="W15" s="412"/>
      <c r="X15" s="411" t="s">
        <v>445</v>
      </c>
      <c r="Y15" s="412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77"/>
      <c r="AL15" s="76"/>
      <c r="AM15" s="77"/>
      <c r="AN15" s="76"/>
      <c r="AO15" s="78"/>
      <c r="AP15" s="76"/>
      <c r="AQ15" s="77"/>
      <c r="AR15" s="76"/>
      <c r="AS15" s="77"/>
      <c r="AT15" s="76"/>
      <c r="AU15" s="77"/>
      <c r="AV15" s="75"/>
      <c r="AW15" s="75"/>
      <c r="AX15" s="75"/>
      <c r="AY15" s="75"/>
      <c r="AZ15" s="75"/>
      <c r="BA15" s="75"/>
      <c r="BB15" s="75"/>
      <c r="BC15" s="75"/>
      <c r="BD15" s="75"/>
      <c r="BE15" s="75"/>
    </row>
    <row r="16" spans="1:58" s="66" customFormat="1">
      <c r="A16" s="377"/>
      <c r="B16" s="377"/>
      <c r="C16" s="377"/>
      <c r="D16" s="74" t="s">
        <v>6</v>
      </c>
      <c r="E16" s="74" t="s">
        <v>7</v>
      </c>
      <c r="F16" s="74" t="s">
        <v>6</v>
      </c>
      <c r="G16" s="74" t="s">
        <v>7</v>
      </c>
      <c r="H16" s="74" t="s">
        <v>6</v>
      </c>
      <c r="I16" s="74" t="s">
        <v>7</v>
      </c>
      <c r="J16" s="74" t="s">
        <v>6</v>
      </c>
      <c r="K16" s="74" t="s">
        <v>7</v>
      </c>
      <c r="L16" s="74" t="s">
        <v>6</v>
      </c>
      <c r="M16" s="74" t="s">
        <v>7</v>
      </c>
      <c r="N16" s="74" t="s">
        <v>6</v>
      </c>
      <c r="O16" s="74" t="s">
        <v>7</v>
      </c>
      <c r="P16" s="74" t="s">
        <v>6</v>
      </c>
      <c r="Q16" s="74" t="s">
        <v>7</v>
      </c>
      <c r="R16" s="74" t="s">
        <v>6</v>
      </c>
      <c r="S16" s="74" t="s">
        <v>7</v>
      </c>
      <c r="T16" s="74" t="s">
        <v>6</v>
      </c>
      <c r="U16" s="74" t="s">
        <v>7</v>
      </c>
      <c r="V16" s="74" t="s">
        <v>6</v>
      </c>
      <c r="W16" s="74" t="s">
        <v>7</v>
      </c>
      <c r="X16" s="74" t="s">
        <v>6</v>
      </c>
      <c r="Y16" s="74" t="s">
        <v>7</v>
      </c>
      <c r="Z16" s="74" t="s">
        <v>6</v>
      </c>
      <c r="AA16" s="74" t="s">
        <v>7</v>
      </c>
      <c r="AB16" s="74" t="s">
        <v>6</v>
      </c>
      <c r="AC16" s="74" t="s">
        <v>7</v>
      </c>
      <c r="AD16" s="74" t="s">
        <v>6</v>
      </c>
      <c r="AE16" s="74" t="s">
        <v>7</v>
      </c>
      <c r="AF16" s="74" t="s">
        <v>6</v>
      </c>
      <c r="AG16" s="74" t="s">
        <v>7</v>
      </c>
      <c r="AH16" s="74" t="s">
        <v>6</v>
      </c>
      <c r="AI16" s="74" t="s">
        <v>7</v>
      </c>
      <c r="AJ16" s="74" t="s">
        <v>6</v>
      </c>
      <c r="AK16" s="74" t="s">
        <v>7</v>
      </c>
      <c r="AL16" s="74" t="s">
        <v>6</v>
      </c>
      <c r="AM16" s="74" t="s">
        <v>7</v>
      </c>
      <c r="AN16" s="74" t="s">
        <v>6</v>
      </c>
      <c r="AO16" s="74" t="s">
        <v>7</v>
      </c>
      <c r="AP16" s="74" t="s">
        <v>6</v>
      </c>
      <c r="AQ16" s="74" t="s">
        <v>7</v>
      </c>
      <c r="AR16" s="74" t="s">
        <v>6</v>
      </c>
      <c r="AS16" s="74" t="s">
        <v>7</v>
      </c>
      <c r="AT16" s="74" t="s">
        <v>6</v>
      </c>
      <c r="AU16" s="74" t="s">
        <v>7</v>
      </c>
      <c r="AV16" s="74" t="s">
        <v>6</v>
      </c>
      <c r="AW16" s="74" t="s">
        <v>7</v>
      </c>
      <c r="AX16" s="74" t="s">
        <v>6</v>
      </c>
      <c r="AY16" s="74" t="s">
        <v>7</v>
      </c>
      <c r="AZ16" s="74" t="s">
        <v>6</v>
      </c>
      <c r="BA16" s="74" t="s">
        <v>7</v>
      </c>
      <c r="BB16" s="74" t="s">
        <v>6</v>
      </c>
      <c r="BC16" s="74" t="s">
        <v>7</v>
      </c>
      <c r="BD16" s="50" t="s">
        <v>6</v>
      </c>
      <c r="BE16" s="50" t="s">
        <v>7</v>
      </c>
    </row>
    <row r="17" spans="1:57" s="66" customFormat="1">
      <c r="A17" s="81">
        <v>1</v>
      </c>
      <c r="B17" s="81">
        <v>2</v>
      </c>
      <c r="C17" s="81">
        <v>3</v>
      </c>
      <c r="D17" s="80" t="s">
        <v>318</v>
      </c>
      <c r="E17" s="80" t="s">
        <v>319</v>
      </c>
      <c r="F17" s="80" t="s">
        <v>320</v>
      </c>
      <c r="G17" s="80" t="s">
        <v>321</v>
      </c>
      <c r="H17" s="80" t="s">
        <v>322</v>
      </c>
      <c r="I17" s="80" t="s">
        <v>323</v>
      </c>
      <c r="J17" s="80" t="s">
        <v>324</v>
      </c>
      <c r="K17" s="80" t="s">
        <v>325</v>
      </c>
      <c r="L17" s="80" t="s">
        <v>326</v>
      </c>
      <c r="M17" s="80" t="s">
        <v>327</v>
      </c>
      <c r="N17" s="80" t="s">
        <v>328</v>
      </c>
      <c r="O17" s="80" t="s">
        <v>329</v>
      </c>
      <c r="P17" s="80" t="s">
        <v>330</v>
      </c>
      <c r="Q17" s="80" t="s">
        <v>331</v>
      </c>
      <c r="R17" s="80" t="s">
        <v>332</v>
      </c>
      <c r="S17" s="80" t="s">
        <v>333</v>
      </c>
      <c r="T17" s="80" t="s">
        <v>339</v>
      </c>
      <c r="U17" s="80" t="s">
        <v>340</v>
      </c>
      <c r="V17" s="80" t="s">
        <v>341</v>
      </c>
      <c r="W17" s="80" t="s">
        <v>342</v>
      </c>
      <c r="X17" s="80" t="s">
        <v>343</v>
      </c>
      <c r="Y17" s="80" t="s">
        <v>344</v>
      </c>
      <c r="Z17" s="80" t="s">
        <v>345</v>
      </c>
      <c r="AA17" s="80" t="s">
        <v>346</v>
      </c>
      <c r="AB17" s="80" t="s">
        <v>347</v>
      </c>
      <c r="AC17" s="80" t="s">
        <v>348</v>
      </c>
      <c r="AD17" s="80" t="s">
        <v>349</v>
      </c>
      <c r="AE17" s="80" t="s">
        <v>350</v>
      </c>
      <c r="AF17" s="80" t="s">
        <v>354</v>
      </c>
      <c r="AG17" s="80" t="s">
        <v>355</v>
      </c>
      <c r="AH17" s="80" t="s">
        <v>356</v>
      </c>
      <c r="AI17" s="80" t="s">
        <v>357</v>
      </c>
      <c r="AJ17" s="80" t="s">
        <v>358</v>
      </c>
      <c r="AK17" s="80" t="s">
        <v>359</v>
      </c>
      <c r="AL17" s="80" t="s">
        <v>362</v>
      </c>
      <c r="AM17" s="80" t="s">
        <v>363</v>
      </c>
      <c r="AN17" s="80" t="s">
        <v>364</v>
      </c>
      <c r="AO17" s="80" t="s">
        <v>365</v>
      </c>
      <c r="AP17" s="80" t="s">
        <v>369</v>
      </c>
      <c r="AQ17" s="80" t="s">
        <v>370</v>
      </c>
      <c r="AR17" s="80" t="s">
        <v>371</v>
      </c>
      <c r="AS17" s="80" t="s">
        <v>372</v>
      </c>
      <c r="AT17" s="80" t="s">
        <v>373</v>
      </c>
      <c r="AU17" s="80" t="s">
        <v>374</v>
      </c>
      <c r="AV17" s="80" t="s">
        <v>377</v>
      </c>
      <c r="AW17" s="80" t="s">
        <v>378</v>
      </c>
      <c r="AX17" s="80" t="s">
        <v>379</v>
      </c>
      <c r="AY17" s="80" t="s">
        <v>380</v>
      </c>
      <c r="AZ17" s="80" t="s">
        <v>382</v>
      </c>
      <c r="BA17" s="80" t="s">
        <v>383</v>
      </c>
      <c r="BB17" s="80" t="s">
        <v>382</v>
      </c>
      <c r="BC17" s="80" t="s">
        <v>383</v>
      </c>
      <c r="BD17" s="79" t="s">
        <v>94</v>
      </c>
      <c r="BE17" s="79" t="s">
        <v>257</v>
      </c>
    </row>
    <row r="18" spans="1:57" s="66" customFormat="1" ht="28.5">
      <c r="A18" s="83" t="s">
        <v>384</v>
      </c>
      <c r="B18" s="84" t="s">
        <v>31</v>
      </c>
      <c r="C18" s="100" t="s">
        <v>385</v>
      </c>
      <c r="D18" s="142">
        <f t="shared" ref="D18" si="0">D19+D20+D21+D22+D23+D24</f>
        <v>0</v>
      </c>
      <c r="E18" s="142">
        <f t="shared" ref="E18" si="1">E19+E20+E21+E22+E23+E24</f>
        <v>0</v>
      </c>
      <c r="F18" s="142">
        <f t="shared" ref="F18" si="2">F19+F20+F21+F22+F23+F24</f>
        <v>0</v>
      </c>
      <c r="G18" s="142">
        <f t="shared" ref="G18" si="3">G19+G20+G21+G22+G23+G24</f>
        <v>0</v>
      </c>
      <c r="H18" s="142">
        <f t="shared" ref="H18" si="4">H19+H20+H21+H22+H23+H24</f>
        <v>0</v>
      </c>
      <c r="I18" s="142">
        <f t="shared" ref="I18" si="5">I19+I20+I21+I22+I23+I24</f>
        <v>0</v>
      </c>
      <c r="J18" s="142">
        <f t="shared" ref="J18" si="6">J19+J20+J21+J22+J23+J24</f>
        <v>0</v>
      </c>
      <c r="K18" s="142">
        <f t="shared" ref="K18" si="7">K19+K20+K21+K22+K23+K24</f>
        <v>0</v>
      </c>
      <c r="L18" s="142">
        <f t="shared" ref="L18" si="8">L19+L20+L21+L22+L23+L24</f>
        <v>0</v>
      </c>
      <c r="M18" s="142">
        <f t="shared" ref="M18" si="9">M19+M20+M21+M22+M23+M24</f>
        <v>0</v>
      </c>
      <c r="N18" s="142">
        <f t="shared" ref="N18" si="10">N19+N20+N21+N22+N23+N24</f>
        <v>0</v>
      </c>
      <c r="O18" s="142">
        <f t="shared" ref="O18" si="11">O19+O20+O21+O22+O23+O24</f>
        <v>0</v>
      </c>
      <c r="P18" s="142">
        <f t="shared" ref="P18" si="12">P19+P20+P21+P22+P23+P24</f>
        <v>0</v>
      </c>
      <c r="Q18" s="142">
        <f t="shared" ref="Q18" si="13">Q19+Q20+Q21+Q22+Q23+Q24</f>
        <v>0</v>
      </c>
      <c r="R18" s="142">
        <f t="shared" ref="R18" si="14">R19+R20+R21+R22+R23+R24</f>
        <v>0</v>
      </c>
      <c r="S18" s="142">
        <f t="shared" ref="S18" si="15">S19+S20+S21+S22+S23+S24</f>
        <v>0</v>
      </c>
      <c r="T18" s="142">
        <f t="shared" ref="T18" si="16">T19+T20+T21+T22+T23+T24</f>
        <v>0</v>
      </c>
      <c r="U18" s="142">
        <f t="shared" ref="U18" si="17">U19+U20+U21+U22+U23+U24</f>
        <v>0</v>
      </c>
      <c r="V18" s="142">
        <f t="shared" ref="V18" si="18">V19+V20+V21+V22+V23+V24</f>
        <v>0.1</v>
      </c>
      <c r="W18" s="142">
        <f t="shared" ref="W18" si="19">W19+W20+W21+W22+W23+W24</f>
        <v>0</v>
      </c>
      <c r="X18" s="142">
        <f t="shared" ref="X18" si="20">X19+X20+X21+X22+X23+X24</f>
        <v>13.025</v>
      </c>
      <c r="Y18" s="142">
        <f t="shared" ref="Y18" si="21">Y19+Y20+Y21+Y22+Y23+Y24</f>
        <v>0</v>
      </c>
      <c r="Z18" s="142">
        <f t="shared" ref="Z18" si="22">Z19+Z20+Z21+Z22+Z23+Z24</f>
        <v>0</v>
      </c>
      <c r="AA18" s="142">
        <f t="shared" ref="AA18" si="23">AA19+AA20+AA21+AA22+AA23+AA24</f>
        <v>0</v>
      </c>
      <c r="AB18" s="142">
        <f t="shared" ref="AB18" si="24">AB19+AB20+AB21+AB22+AB23+AB24</f>
        <v>0</v>
      </c>
      <c r="AC18" s="142">
        <f t="shared" ref="AC18" si="25">AC19+AC20+AC21+AC22+AC23+AC24</f>
        <v>0</v>
      </c>
      <c r="AD18" s="142">
        <f t="shared" ref="AD18" si="26">AD19+AD20+AD21+AD22+AD23+AD24</f>
        <v>0</v>
      </c>
      <c r="AE18" s="142">
        <f t="shared" ref="AE18" si="27">AE19+AE20+AE21+AE22+AE23+AE24</f>
        <v>0</v>
      </c>
      <c r="AF18" s="142">
        <f t="shared" ref="AF18" si="28">AF19+AF20+AF21+AF22+AF23+AF24</f>
        <v>0</v>
      </c>
      <c r="AG18" s="142">
        <f t="shared" ref="AG18" si="29">AG19+AG20+AG21+AG22+AG23+AG24</f>
        <v>0</v>
      </c>
      <c r="AH18" s="142">
        <f t="shared" ref="AH18" si="30">AH19+AH20+AH21+AH22+AH23+AH24</f>
        <v>0</v>
      </c>
      <c r="AI18" s="142">
        <f t="shared" ref="AI18" si="31">AI19+AI20+AI21+AI22+AI23+AI24</f>
        <v>0</v>
      </c>
      <c r="AJ18" s="142">
        <f t="shared" ref="AJ18" si="32">AJ19+AJ20+AJ21+AJ22+AJ23+AJ24</f>
        <v>0</v>
      </c>
      <c r="AK18" s="142">
        <f t="shared" ref="AK18" si="33">AK19+AK20+AK21+AK22+AK23+AK24</f>
        <v>0</v>
      </c>
      <c r="AL18" s="142">
        <f t="shared" ref="AL18" si="34">AL19+AL20+AL21+AL22+AL23+AL24</f>
        <v>0</v>
      </c>
      <c r="AM18" s="142">
        <f t="shared" ref="AM18" si="35">AM19+AM20+AM21+AM22+AM23+AM24</f>
        <v>0</v>
      </c>
      <c r="AN18" s="142">
        <f t="shared" ref="AN18" si="36">AN19+AN20+AN21+AN22+AN23+AN24</f>
        <v>0</v>
      </c>
      <c r="AO18" s="142">
        <f t="shared" ref="AO18" si="37">AO19+AO20+AO21+AO22+AO23+AO24</f>
        <v>0</v>
      </c>
      <c r="AP18" s="142">
        <f t="shared" ref="AP18" si="38">AP19+AP20+AP21+AP22+AP23+AP24</f>
        <v>0</v>
      </c>
      <c r="AQ18" s="142">
        <f t="shared" ref="AQ18" si="39">AQ19+AQ20+AQ21+AQ22+AQ23+AQ24</f>
        <v>0</v>
      </c>
      <c r="AR18" s="142">
        <f t="shared" ref="AR18" si="40">AR19+AR20+AR21+AR22+AR23+AR24</f>
        <v>0</v>
      </c>
      <c r="AS18" s="142">
        <f t="shared" ref="AS18" si="41">AS19+AS20+AS21+AS22+AS23+AS24</f>
        <v>0</v>
      </c>
      <c r="AT18" s="142">
        <f t="shared" ref="AT18" si="42">AT19+AT20+AT21+AT22+AT23+AT24</f>
        <v>0</v>
      </c>
      <c r="AU18" s="142">
        <f t="shared" ref="AU18" si="43">AU19+AU20+AU21+AU22+AU23+AU24</f>
        <v>0</v>
      </c>
      <c r="AV18" s="142">
        <f t="shared" ref="AV18" si="44">AV19+AV20+AV21+AV22+AV23+AV24</f>
        <v>0</v>
      </c>
      <c r="AW18" s="142">
        <f t="shared" ref="AW18" si="45">AW19+AW20+AW21+AW22+AW23+AW24</f>
        <v>0</v>
      </c>
      <c r="AX18" s="142">
        <f t="shared" ref="AX18" si="46">AX19+AX20+AX21+AX22+AX23+AX24</f>
        <v>13.34</v>
      </c>
      <c r="AY18" s="142">
        <f t="shared" ref="AY18" si="47">AY19+AY20+AY21+AY22+AY23+AY24</f>
        <v>0</v>
      </c>
      <c r="AZ18" s="142">
        <f t="shared" ref="AZ18" si="48">AZ19+AZ20+AZ21+AZ22+AZ23+AZ24</f>
        <v>0</v>
      </c>
      <c r="BA18" s="142">
        <f t="shared" ref="BA18" si="49">BA19+BA20+BA21+BA22+BA23+BA24</f>
        <v>0</v>
      </c>
      <c r="BB18" s="142">
        <f t="shared" ref="BB18" si="50">BB19+BB20+BB21+BB22+BB23+BB24</f>
        <v>0</v>
      </c>
      <c r="BC18" s="142">
        <f t="shared" ref="BC18" si="51">BC19+BC20+BC21+BC22+BC23+BC24</f>
        <v>0</v>
      </c>
      <c r="BD18" s="79"/>
      <c r="BE18" s="79"/>
    </row>
    <row r="19" spans="1:57" s="66" customFormat="1" ht="15.75">
      <c r="A19" s="85" t="s">
        <v>386</v>
      </c>
      <c r="B19" s="86" t="s">
        <v>387</v>
      </c>
      <c r="C19" s="101" t="s">
        <v>385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79"/>
      <c r="BE19" s="79"/>
    </row>
    <row r="20" spans="1:57" s="66" customFormat="1" ht="30">
      <c r="A20" s="87" t="s">
        <v>388</v>
      </c>
      <c r="B20" s="88" t="s">
        <v>389</v>
      </c>
      <c r="C20" s="101" t="s">
        <v>385</v>
      </c>
      <c r="D20" s="142">
        <f t="shared" ref="D20" si="52">D26</f>
        <v>0</v>
      </c>
      <c r="E20" s="142">
        <f t="shared" ref="E20:BC20" si="53">E26</f>
        <v>0</v>
      </c>
      <c r="F20" s="142">
        <f t="shared" si="53"/>
        <v>0</v>
      </c>
      <c r="G20" s="142">
        <f t="shared" si="53"/>
        <v>0</v>
      </c>
      <c r="H20" s="142">
        <f t="shared" si="53"/>
        <v>0</v>
      </c>
      <c r="I20" s="142">
        <f t="shared" si="53"/>
        <v>0</v>
      </c>
      <c r="J20" s="142">
        <f t="shared" si="53"/>
        <v>0</v>
      </c>
      <c r="K20" s="142">
        <f t="shared" si="53"/>
        <v>0</v>
      </c>
      <c r="L20" s="142">
        <f t="shared" si="53"/>
        <v>0</v>
      </c>
      <c r="M20" s="142">
        <f t="shared" si="53"/>
        <v>0</v>
      </c>
      <c r="N20" s="142">
        <f t="shared" si="53"/>
        <v>0</v>
      </c>
      <c r="O20" s="142">
        <f t="shared" si="53"/>
        <v>0</v>
      </c>
      <c r="P20" s="142">
        <f t="shared" si="53"/>
        <v>0</v>
      </c>
      <c r="Q20" s="142">
        <f t="shared" si="53"/>
        <v>0</v>
      </c>
      <c r="R20" s="142">
        <f t="shared" si="53"/>
        <v>0</v>
      </c>
      <c r="S20" s="142">
        <f t="shared" si="53"/>
        <v>0</v>
      </c>
      <c r="T20" s="142">
        <f t="shared" si="53"/>
        <v>0</v>
      </c>
      <c r="U20" s="142">
        <f t="shared" si="53"/>
        <v>0</v>
      </c>
      <c r="V20" s="142">
        <f t="shared" si="53"/>
        <v>0</v>
      </c>
      <c r="W20" s="142">
        <f t="shared" si="53"/>
        <v>0</v>
      </c>
      <c r="X20" s="142">
        <f t="shared" si="53"/>
        <v>9.1050000000000004</v>
      </c>
      <c r="Y20" s="142">
        <f t="shared" si="53"/>
        <v>0</v>
      </c>
      <c r="Z20" s="142">
        <f t="shared" si="53"/>
        <v>0</v>
      </c>
      <c r="AA20" s="142">
        <f t="shared" si="53"/>
        <v>0</v>
      </c>
      <c r="AB20" s="142">
        <f t="shared" si="53"/>
        <v>0</v>
      </c>
      <c r="AC20" s="142">
        <f t="shared" si="53"/>
        <v>0</v>
      </c>
      <c r="AD20" s="142">
        <f t="shared" si="53"/>
        <v>0</v>
      </c>
      <c r="AE20" s="142">
        <f t="shared" si="53"/>
        <v>0</v>
      </c>
      <c r="AF20" s="142">
        <f t="shared" si="53"/>
        <v>0</v>
      </c>
      <c r="AG20" s="142">
        <f t="shared" si="53"/>
        <v>0</v>
      </c>
      <c r="AH20" s="142">
        <f t="shared" si="53"/>
        <v>0</v>
      </c>
      <c r="AI20" s="142">
        <f t="shared" si="53"/>
        <v>0</v>
      </c>
      <c r="AJ20" s="142">
        <f t="shared" si="53"/>
        <v>0</v>
      </c>
      <c r="AK20" s="142">
        <f t="shared" si="53"/>
        <v>0</v>
      </c>
      <c r="AL20" s="142">
        <f t="shared" si="53"/>
        <v>0</v>
      </c>
      <c r="AM20" s="142">
        <f t="shared" si="53"/>
        <v>0</v>
      </c>
      <c r="AN20" s="142">
        <f t="shared" si="53"/>
        <v>0</v>
      </c>
      <c r="AO20" s="142">
        <f t="shared" si="53"/>
        <v>0</v>
      </c>
      <c r="AP20" s="142">
        <f t="shared" si="53"/>
        <v>0</v>
      </c>
      <c r="AQ20" s="142">
        <f t="shared" si="53"/>
        <v>0</v>
      </c>
      <c r="AR20" s="142">
        <f t="shared" si="53"/>
        <v>0</v>
      </c>
      <c r="AS20" s="142">
        <f t="shared" si="53"/>
        <v>0</v>
      </c>
      <c r="AT20" s="142">
        <f t="shared" si="53"/>
        <v>0</v>
      </c>
      <c r="AU20" s="142">
        <f t="shared" si="53"/>
        <v>0</v>
      </c>
      <c r="AV20" s="142">
        <f t="shared" si="53"/>
        <v>0</v>
      </c>
      <c r="AW20" s="142">
        <f t="shared" si="53"/>
        <v>0</v>
      </c>
      <c r="AX20" s="142">
        <f t="shared" si="53"/>
        <v>9.5039999999999996</v>
      </c>
      <c r="AY20" s="142">
        <f t="shared" si="53"/>
        <v>0</v>
      </c>
      <c r="AZ20" s="142">
        <f t="shared" si="53"/>
        <v>0</v>
      </c>
      <c r="BA20" s="142">
        <f t="shared" si="53"/>
        <v>0</v>
      </c>
      <c r="BB20" s="142">
        <f t="shared" si="53"/>
        <v>0</v>
      </c>
      <c r="BC20" s="142">
        <f t="shared" si="53"/>
        <v>0</v>
      </c>
      <c r="BD20" s="79"/>
      <c r="BE20" s="79"/>
    </row>
    <row r="21" spans="1:57" s="66" customFormat="1" ht="45">
      <c r="A21" s="87" t="s">
        <v>390</v>
      </c>
      <c r="B21" s="88" t="s">
        <v>391</v>
      </c>
      <c r="C21" s="101" t="s">
        <v>385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79"/>
      <c r="BE21" s="79"/>
    </row>
    <row r="22" spans="1:57" s="66" customFormat="1" ht="30">
      <c r="A22" s="87" t="s">
        <v>392</v>
      </c>
      <c r="B22" s="86" t="s">
        <v>393</v>
      </c>
      <c r="C22" s="101" t="s">
        <v>385</v>
      </c>
      <c r="D22" s="143">
        <f t="shared" ref="D22" si="54">D40</f>
        <v>0</v>
      </c>
      <c r="E22" s="143">
        <f t="shared" ref="E22:BC22" si="55">E40</f>
        <v>0</v>
      </c>
      <c r="F22" s="143">
        <f t="shared" si="55"/>
        <v>0</v>
      </c>
      <c r="G22" s="143">
        <f t="shared" si="55"/>
        <v>0</v>
      </c>
      <c r="H22" s="143">
        <f t="shared" si="55"/>
        <v>0</v>
      </c>
      <c r="I22" s="143">
        <f t="shared" si="55"/>
        <v>0</v>
      </c>
      <c r="J22" s="143">
        <f t="shared" si="55"/>
        <v>0</v>
      </c>
      <c r="K22" s="143">
        <f t="shared" si="55"/>
        <v>0</v>
      </c>
      <c r="L22" s="143">
        <f t="shared" si="55"/>
        <v>0</v>
      </c>
      <c r="M22" s="143">
        <f t="shared" si="55"/>
        <v>0</v>
      </c>
      <c r="N22" s="143">
        <f t="shared" si="55"/>
        <v>0</v>
      </c>
      <c r="O22" s="143">
        <f t="shared" si="55"/>
        <v>0</v>
      </c>
      <c r="P22" s="143">
        <f t="shared" si="55"/>
        <v>0</v>
      </c>
      <c r="Q22" s="143">
        <f t="shared" si="55"/>
        <v>0</v>
      </c>
      <c r="R22" s="143">
        <f t="shared" si="55"/>
        <v>0</v>
      </c>
      <c r="S22" s="143">
        <f t="shared" si="55"/>
        <v>0</v>
      </c>
      <c r="T22" s="143">
        <f t="shared" si="55"/>
        <v>0</v>
      </c>
      <c r="U22" s="143">
        <f t="shared" si="55"/>
        <v>0</v>
      </c>
      <c r="V22" s="143">
        <f t="shared" si="55"/>
        <v>0.1</v>
      </c>
      <c r="W22" s="143">
        <f t="shared" si="55"/>
        <v>0</v>
      </c>
      <c r="X22" s="143">
        <f t="shared" si="55"/>
        <v>3.92</v>
      </c>
      <c r="Y22" s="143">
        <f t="shared" si="55"/>
        <v>0</v>
      </c>
      <c r="Z22" s="143">
        <f t="shared" si="55"/>
        <v>0</v>
      </c>
      <c r="AA22" s="143">
        <f t="shared" si="55"/>
        <v>0</v>
      </c>
      <c r="AB22" s="143">
        <f t="shared" si="55"/>
        <v>0</v>
      </c>
      <c r="AC22" s="143">
        <f t="shared" si="55"/>
        <v>0</v>
      </c>
      <c r="AD22" s="143">
        <f t="shared" si="55"/>
        <v>0</v>
      </c>
      <c r="AE22" s="143">
        <f t="shared" si="55"/>
        <v>0</v>
      </c>
      <c r="AF22" s="143">
        <f t="shared" si="55"/>
        <v>0</v>
      </c>
      <c r="AG22" s="143">
        <f t="shared" si="55"/>
        <v>0</v>
      </c>
      <c r="AH22" s="143">
        <f t="shared" si="55"/>
        <v>0</v>
      </c>
      <c r="AI22" s="143">
        <f t="shared" si="55"/>
        <v>0</v>
      </c>
      <c r="AJ22" s="143">
        <f t="shared" si="55"/>
        <v>0</v>
      </c>
      <c r="AK22" s="143">
        <f t="shared" si="55"/>
        <v>0</v>
      </c>
      <c r="AL22" s="143">
        <f t="shared" si="55"/>
        <v>0</v>
      </c>
      <c r="AM22" s="143">
        <f t="shared" si="55"/>
        <v>0</v>
      </c>
      <c r="AN22" s="143">
        <f t="shared" si="55"/>
        <v>0</v>
      </c>
      <c r="AO22" s="143">
        <f t="shared" si="55"/>
        <v>0</v>
      </c>
      <c r="AP22" s="143">
        <f t="shared" si="55"/>
        <v>0</v>
      </c>
      <c r="AQ22" s="143">
        <f t="shared" si="55"/>
        <v>0</v>
      </c>
      <c r="AR22" s="143">
        <f t="shared" si="55"/>
        <v>0</v>
      </c>
      <c r="AS22" s="143">
        <f t="shared" si="55"/>
        <v>0</v>
      </c>
      <c r="AT22" s="143">
        <f t="shared" si="55"/>
        <v>0</v>
      </c>
      <c r="AU22" s="143">
        <f t="shared" si="55"/>
        <v>0</v>
      </c>
      <c r="AV22" s="143">
        <f t="shared" si="55"/>
        <v>0</v>
      </c>
      <c r="AW22" s="143">
        <f t="shared" si="55"/>
        <v>0</v>
      </c>
      <c r="AX22" s="143">
        <f t="shared" si="55"/>
        <v>3.8360000000000003</v>
      </c>
      <c r="AY22" s="143">
        <f t="shared" si="55"/>
        <v>0</v>
      </c>
      <c r="AZ22" s="143">
        <f t="shared" si="55"/>
        <v>0</v>
      </c>
      <c r="BA22" s="143">
        <f t="shared" si="55"/>
        <v>0</v>
      </c>
      <c r="BB22" s="143">
        <f t="shared" si="55"/>
        <v>0</v>
      </c>
      <c r="BC22" s="143">
        <f t="shared" si="55"/>
        <v>0</v>
      </c>
      <c r="BD22" s="79"/>
      <c r="BE22" s="79"/>
    </row>
    <row r="23" spans="1:57" s="66" customFormat="1" ht="30">
      <c r="A23" s="87" t="s">
        <v>394</v>
      </c>
      <c r="B23" s="86" t="s">
        <v>395</v>
      </c>
      <c r="C23" s="101" t="s">
        <v>385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143">
        <v>0</v>
      </c>
      <c r="BD23" s="79"/>
      <c r="BE23" s="79"/>
    </row>
    <row r="24" spans="1:57" s="66" customFormat="1" ht="15.75">
      <c r="A24" s="87" t="s">
        <v>396</v>
      </c>
      <c r="B24" s="86" t="s">
        <v>397</v>
      </c>
      <c r="C24" s="101" t="s">
        <v>385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79"/>
      <c r="BE24" s="79"/>
    </row>
    <row r="25" spans="1:57" s="66" customFormat="1" ht="15.75">
      <c r="A25" s="89" t="s">
        <v>398</v>
      </c>
      <c r="B25" s="90" t="s">
        <v>399</v>
      </c>
      <c r="C25" s="101" t="s">
        <v>385</v>
      </c>
      <c r="D25" s="143">
        <f t="shared" ref="D25" si="56">D26+D40</f>
        <v>0</v>
      </c>
      <c r="E25" s="143">
        <f t="shared" ref="E25" si="57">E26+E40</f>
        <v>0</v>
      </c>
      <c r="F25" s="143">
        <f t="shared" ref="F25" si="58">F26+F40</f>
        <v>0</v>
      </c>
      <c r="G25" s="143">
        <f t="shared" ref="G25" si="59">G26+G40</f>
        <v>0</v>
      </c>
      <c r="H25" s="143">
        <f t="shared" ref="H25" si="60">H26+H40</f>
        <v>0</v>
      </c>
      <c r="I25" s="143">
        <f t="shared" ref="I25" si="61">I26+I40</f>
        <v>0</v>
      </c>
      <c r="J25" s="143">
        <f t="shared" ref="J25" si="62">J26+J40</f>
        <v>0</v>
      </c>
      <c r="K25" s="143">
        <f t="shared" ref="K25" si="63">K26+K40</f>
        <v>0</v>
      </c>
      <c r="L25" s="143">
        <f t="shared" ref="L25" si="64">L26+L40</f>
        <v>0</v>
      </c>
      <c r="M25" s="143">
        <f t="shared" ref="M25" si="65">M26+M40</f>
        <v>0</v>
      </c>
      <c r="N25" s="143">
        <f t="shared" ref="N25" si="66">N26+N40</f>
        <v>0</v>
      </c>
      <c r="O25" s="143">
        <f t="shared" ref="O25" si="67">O26+O40</f>
        <v>0</v>
      </c>
      <c r="P25" s="143">
        <f t="shared" ref="P25" si="68">P26+P40</f>
        <v>0</v>
      </c>
      <c r="Q25" s="143">
        <f t="shared" ref="Q25" si="69">Q26+Q40</f>
        <v>0</v>
      </c>
      <c r="R25" s="143">
        <f t="shared" ref="R25" si="70">R26+R40</f>
        <v>0</v>
      </c>
      <c r="S25" s="143">
        <f t="shared" ref="S25" si="71">S26+S40</f>
        <v>0</v>
      </c>
      <c r="T25" s="143">
        <f t="shared" ref="T25" si="72">T26+T40</f>
        <v>0</v>
      </c>
      <c r="U25" s="143">
        <f t="shared" ref="U25" si="73">U26+U40</f>
        <v>0</v>
      </c>
      <c r="V25" s="143">
        <f t="shared" ref="V25" si="74">V26+V40</f>
        <v>0.1</v>
      </c>
      <c r="W25" s="143">
        <f t="shared" ref="W25" si="75">W26+W40</f>
        <v>0</v>
      </c>
      <c r="X25" s="143">
        <f t="shared" ref="X25" si="76">X26+X40</f>
        <v>13.025</v>
      </c>
      <c r="Y25" s="143">
        <f t="shared" ref="Y25" si="77">Y26+Y40</f>
        <v>0</v>
      </c>
      <c r="Z25" s="143">
        <f t="shared" ref="Z25" si="78">Z26+Z40</f>
        <v>0</v>
      </c>
      <c r="AA25" s="143">
        <f t="shared" ref="AA25" si="79">AA26+AA40</f>
        <v>0</v>
      </c>
      <c r="AB25" s="143">
        <f t="shared" ref="AB25" si="80">AB26+AB40</f>
        <v>0</v>
      </c>
      <c r="AC25" s="143">
        <f t="shared" ref="AC25" si="81">AC26+AC40</f>
        <v>0</v>
      </c>
      <c r="AD25" s="143">
        <f t="shared" ref="AD25" si="82">AD26+AD40</f>
        <v>0</v>
      </c>
      <c r="AE25" s="143">
        <f t="shared" ref="AE25" si="83">AE26+AE40</f>
        <v>0</v>
      </c>
      <c r="AF25" s="143">
        <f t="shared" ref="AF25" si="84">AF26+AF40</f>
        <v>0</v>
      </c>
      <c r="AG25" s="143">
        <f t="shared" ref="AG25" si="85">AG26+AG40</f>
        <v>0</v>
      </c>
      <c r="AH25" s="143">
        <f t="shared" ref="AH25" si="86">AH26+AH40</f>
        <v>0</v>
      </c>
      <c r="AI25" s="143">
        <f t="shared" ref="AI25" si="87">AI26+AI40</f>
        <v>0</v>
      </c>
      <c r="AJ25" s="143">
        <f t="shared" ref="AJ25" si="88">AJ26+AJ40</f>
        <v>0</v>
      </c>
      <c r="AK25" s="143">
        <f t="shared" ref="AK25" si="89">AK26+AK40</f>
        <v>0</v>
      </c>
      <c r="AL25" s="143">
        <f t="shared" ref="AL25" si="90">AL26+AL40</f>
        <v>0</v>
      </c>
      <c r="AM25" s="143">
        <f t="shared" ref="AM25" si="91">AM26+AM40</f>
        <v>0</v>
      </c>
      <c r="AN25" s="143">
        <f t="shared" ref="AN25" si="92">AN26+AN40</f>
        <v>0</v>
      </c>
      <c r="AO25" s="143">
        <f t="shared" ref="AO25" si="93">AO26+AO40</f>
        <v>0</v>
      </c>
      <c r="AP25" s="143">
        <f t="shared" ref="AP25" si="94">AP26+AP40</f>
        <v>0</v>
      </c>
      <c r="AQ25" s="143">
        <f t="shared" ref="AQ25" si="95">AQ26+AQ40</f>
        <v>0</v>
      </c>
      <c r="AR25" s="143">
        <f t="shared" ref="AR25" si="96">AR26+AR40</f>
        <v>0</v>
      </c>
      <c r="AS25" s="143">
        <f t="shared" ref="AS25" si="97">AS26+AS40</f>
        <v>0</v>
      </c>
      <c r="AT25" s="143">
        <f t="shared" ref="AT25" si="98">AT26+AT40</f>
        <v>0</v>
      </c>
      <c r="AU25" s="143">
        <f t="shared" ref="AU25" si="99">AU26+AU40</f>
        <v>0</v>
      </c>
      <c r="AV25" s="143">
        <f t="shared" ref="AV25" si="100">AV26+AV40</f>
        <v>0</v>
      </c>
      <c r="AW25" s="143">
        <f t="shared" ref="AW25" si="101">AW26+AW40</f>
        <v>0</v>
      </c>
      <c r="AX25" s="143">
        <f t="shared" ref="AX25" si="102">AX26+AX40</f>
        <v>13.34</v>
      </c>
      <c r="AY25" s="143">
        <f t="shared" ref="AY25" si="103">AY26+AY40</f>
        <v>0</v>
      </c>
      <c r="AZ25" s="143">
        <f t="shared" ref="AZ25" si="104">AZ26+AZ40</f>
        <v>0</v>
      </c>
      <c r="BA25" s="143">
        <f t="shared" ref="BA25" si="105">BA26+BA40</f>
        <v>0</v>
      </c>
      <c r="BB25" s="143">
        <f t="shared" ref="BB25" si="106">BB26+BB40</f>
        <v>0</v>
      </c>
      <c r="BC25" s="143">
        <f t="shared" ref="BC25" si="107">BC26+BC40</f>
        <v>0</v>
      </c>
      <c r="BD25" s="79"/>
      <c r="BE25" s="79"/>
    </row>
    <row r="26" spans="1:57" s="66" customFormat="1" ht="28.5">
      <c r="A26" s="89" t="s">
        <v>400</v>
      </c>
      <c r="B26" s="90" t="s">
        <v>401</v>
      </c>
      <c r="C26" s="101" t="s">
        <v>385</v>
      </c>
      <c r="D26" s="143">
        <f t="shared" ref="D26" si="108">D27+D29+D36</f>
        <v>0</v>
      </c>
      <c r="E26" s="143">
        <f t="shared" ref="E26" si="109">E27+E29+E36</f>
        <v>0</v>
      </c>
      <c r="F26" s="143">
        <f t="shared" ref="F26" si="110">F27+F29+F36</f>
        <v>0</v>
      </c>
      <c r="G26" s="143">
        <f t="shared" ref="G26" si="111">G27+G29+G36</f>
        <v>0</v>
      </c>
      <c r="H26" s="143">
        <f t="shared" ref="H26" si="112">H27+H29+H36</f>
        <v>0</v>
      </c>
      <c r="I26" s="143">
        <f t="shared" ref="I26" si="113">I27+I29+I36</f>
        <v>0</v>
      </c>
      <c r="J26" s="143">
        <f t="shared" ref="J26" si="114">J27+J29+J36</f>
        <v>0</v>
      </c>
      <c r="K26" s="143">
        <f t="shared" ref="K26" si="115">K27+K29+K36</f>
        <v>0</v>
      </c>
      <c r="L26" s="143">
        <f t="shared" ref="L26" si="116">L27+L29+L36</f>
        <v>0</v>
      </c>
      <c r="M26" s="143">
        <f t="shared" ref="M26" si="117">M27+M29+M36</f>
        <v>0</v>
      </c>
      <c r="N26" s="143">
        <f t="shared" ref="N26" si="118">N27+N29+N36</f>
        <v>0</v>
      </c>
      <c r="O26" s="143">
        <f t="shared" ref="O26" si="119">O27+O29+O36</f>
        <v>0</v>
      </c>
      <c r="P26" s="143">
        <f t="shared" ref="P26" si="120">P27+P29+P36</f>
        <v>0</v>
      </c>
      <c r="Q26" s="143">
        <f t="shared" ref="Q26" si="121">Q27+Q29+Q36</f>
        <v>0</v>
      </c>
      <c r="R26" s="143">
        <f t="shared" ref="R26" si="122">R27+R29+R36</f>
        <v>0</v>
      </c>
      <c r="S26" s="143">
        <f t="shared" ref="S26" si="123">S27+S29+S36</f>
        <v>0</v>
      </c>
      <c r="T26" s="143">
        <f t="shared" ref="T26" si="124">T27+T29+T36</f>
        <v>0</v>
      </c>
      <c r="U26" s="143">
        <f t="shared" ref="U26" si="125">U27+U29+U36</f>
        <v>0</v>
      </c>
      <c r="V26" s="143">
        <f t="shared" ref="V26" si="126">V27+V29+V36</f>
        <v>0</v>
      </c>
      <c r="W26" s="143">
        <f t="shared" ref="W26" si="127">W27+W29+W36</f>
        <v>0</v>
      </c>
      <c r="X26" s="143">
        <f t="shared" ref="X26" si="128">X27+X29+X36</f>
        <v>9.1050000000000004</v>
      </c>
      <c r="Y26" s="143">
        <f t="shared" ref="Y26" si="129">Y27+Y29+Y36</f>
        <v>0</v>
      </c>
      <c r="Z26" s="143">
        <f t="shared" ref="Z26" si="130">Z27+Z29+Z36</f>
        <v>0</v>
      </c>
      <c r="AA26" s="143">
        <f t="shared" ref="AA26" si="131">AA27+AA29+AA36</f>
        <v>0</v>
      </c>
      <c r="AB26" s="143">
        <f t="shared" ref="AB26" si="132">AB27+AB29+AB36</f>
        <v>0</v>
      </c>
      <c r="AC26" s="143">
        <f t="shared" ref="AC26" si="133">AC27+AC29+AC36</f>
        <v>0</v>
      </c>
      <c r="AD26" s="143">
        <f t="shared" ref="AD26" si="134">AD27+AD29+AD36</f>
        <v>0</v>
      </c>
      <c r="AE26" s="143">
        <f t="shared" ref="AE26" si="135">AE27+AE29+AE36</f>
        <v>0</v>
      </c>
      <c r="AF26" s="143">
        <f t="shared" ref="AF26" si="136">AF27+AF29+AF36</f>
        <v>0</v>
      </c>
      <c r="AG26" s="143">
        <f t="shared" ref="AG26" si="137">AG27+AG29+AG36</f>
        <v>0</v>
      </c>
      <c r="AH26" s="143">
        <f t="shared" ref="AH26" si="138">AH27+AH29+AH36</f>
        <v>0</v>
      </c>
      <c r="AI26" s="143">
        <f t="shared" ref="AI26" si="139">AI27+AI29+AI36</f>
        <v>0</v>
      </c>
      <c r="AJ26" s="143">
        <f t="shared" ref="AJ26" si="140">AJ27+AJ29+AJ36</f>
        <v>0</v>
      </c>
      <c r="AK26" s="143">
        <f t="shared" ref="AK26" si="141">AK27+AK29+AK36</f>
        <v>0</v>
      </c>
      <c r="AL26" s="143">
        <f t="shared" ref="AL26" si="142">AL27+AL29+AL36</f>
        <v>0</v>
      </c>
      <c r="AM26" s="143">
        <f t="shared" ref="AM26" si="143">AM27+AM29+AM36</f>
        <v>0</v>
      </c>
      <c r="AN26" s="143">
        <f t="shared" ref="AN26" si="144">AN27+AN29+AN36</f>
        <v>0</v>
      </c>
      <c r="AO26" s="143">
        <f t="shared" ref="AO26" si="145">AO27+AO29+AO36</f>
        <v>0</v>
      </c>
      <c r="AP26" s="143">
        <f t="shared" ref="AP26" si="146">AP27+AP29+AP36</f>
        <v>0</v>
      </c>
      <c r="AQ26" s="143">
        <f t="shared" ref="AQ26" si="147">AQ27+AQ29+AQ36</f>
        <v>0</v>
      </c>
      <c r="AR26" s="143">
        <f t="shared" ref="AR26" si="148">AR27+AR29+AR36</f>
        <v>0</v>
      </c>
      <c r="AS26" s="143">
        <f t="shared" ref="AS26" si="149">AS27+AS29+AS36</f>
        <v>0</v>
      </c>
      <c r="AT26" s="143">
        <f t="shared" ref="AT26" si="150">AT27+AT29+AT36</f>
        <v>0</v>
      </c>
      <c r="AU26" s="143">
        <f t="shared" ref="AU26" si="151">AU27+AU29+AU36</f>
        <v>0</v>
      </c>
      <c r="AV26" s="143">
        <f t="shared" ref="AV26" si="152">AV27+AV29+AV36</f>
        <v>0</v>
      </c>
      <c r="AW26" s="143">
        <f t="shared" ref="AW26" si="153">AW27+AW29+AW36</f>
        <v>0</v>
      </c>
      <c r="AX26" s="143">
        <f t="shared" ref="AX26" si="154">AX27+AX29+AX36</f>
        <v>9.5039999999999996</v>
      </c>
      <c r="AY26" s="143">
        <f t="shared" ref="AY26" si="155">AY27+AY29+AY36</f>
        <v>0</v>
      </c>
      <c r="AZ26" s="143">
        <f t="shared" ref="AZ26" si="156">AZ27+AZ29+AZ36</f>
        <v>0</v>
      </c>
      <c r="BA26" s="143">
        <f t="shared" ref="BA26" si="157">BA27+BA29+BA36</f>
        <v>0</v>
      </c>
      <c r="BB26" s="143">
        <f t="shared" ref="BB26" si="158">BB27+BB29+BB36</f>
        <v>0</v>
      </c>
      <c r="BC26" s="143">
        <f t="shared" ref="BC26" si="159">BC27+BC29+BC36</f>
        <v>0</v>
      </c>
      <c r="BD26" s="79"/>
      <c r="BE26" s="79"/>
    </row>
    <row r="27" spans="1:57" s="66" customFormat="1" ht="45">
      <c r="A27" s="89" t="s">
        <v>402</v>
      </c>
      <c r="B27" s="86" t="s">
        <v>403</v>
      </c>
      <c r="C27" s="101" t="s">
        <v>385</v>
      </c>
      <c r="D27" s="143">
        <f t="shared" ref="D27" si="160">D28</f>
        <v>0</v>
      </c>
      <c r="E27" s="143">
        <f t="shared" ref="E27" si="161">E28</f>
        <v>0</v>
      </c>
      <c r="F27" s="143">
        <f t="shared" ref="F27" si="162">F28</f>
        <v>0</v>
      </c>
      <c r="G27" s="143">
        <f t="shared" ref="G27" si="163">G28</f>
        <v>0</v>
      </c>
      <c r="H27" s="143">
        <f t="shared" ref="H27" si="164">H28</f>
        <v>0</v>
      </c>
      <c r="I27" s="143">
        <f t="shared" ref="I27" si="165">I28</f>
        <v>0</v>
      </c>
      <c r="J27" s="143">
        <f t="shared" ref="J27" si="166">J28</f>
        <v>0</v>
      </c>
      <c r="K27" s="143">
        <f t="shared" ref="K27" si="167">K28</f>
        <v>0</v>
      </c>
      <c r="L27" s="143">
        <f t="shared" ref="L27" si="168">L28</f>
        <v>0</v>
      </c>
      <c r="M27" s="143">
        <f t="shared" ref="M27" si="169">M28</f>
        <v>0</v>
      </c>
      <c r="N27" s="143">
        <f t="shared" ref="N27" si="170">N28</f>
        <v>0</v>
      </c>
      <c r="O27" s="143">
        <f t="shared" ref="O27" si="171">O28</f>
        <v>0</v>
      </c>
      <c r="P27" s="143">
        <f t="shared" ref="P27" si="172">P28</f>
        <v>0</v>
      </c>
      <c r="Q27" s="143">
        <f t="shared" ref="Q27" si="173">Q28</f>
        <v>0</v>
      </c>
      <c r="R27" s="143">
        <f t="shared" ref="R27" si="174">R28</f>
        <v>0</v>
      </c>
      <c r="S27" s="143">
        <f t="shared" ref="S27" si="175">S28</f>
        <v>0</v>
      </c>
      <c r="T27" s="143">
        <f t="shared" ref="T27" si="176">T28</f>
        <v>0</v>
      </c>
      <c r="U27" s="143">
        <f t="shared" ref="U27" si="177">U28</f>
        <v>0</v>
      </c>
      <c r="V27" s="143">
        <f t="shared" ref="V27" si="178">V28</f>
        <v>0</v>
      </c>
      <c r="W27" s="143">
        <f t="shared" ref="W27" si="179">W28</f>
        <v>0</v>
      </c>
      <c r="X27" s="145">
        <f t="shared" ref="X27" si="180">X28</f>
        <v>0</v>
      </c>
      <c r="Y27" s="143">
        <f t="shared" ref="Y27" si="181">Y28</f>
        <v>0</v>
      </c>
      <c r="Z27" s="143">
        <f t="shared" ref="Z27" si="182">Z28</f>
        <v>0</v>
      </c>
      <c r="AA27" s="143">
        <f t="shared" ref="AA27" si="183">AA28</f>
        <v>0</v>
      </c>
      <c r="AB27" s="143">
        <f t="shared" ref="AB27" si="184">AB28</f>
        <v>0</v>
      </c>
      <c r="AC27" s="143">
        <f t="shared" ref="AC27" si="185">AC28</f>
        <v>0</v>
      </c>
      <c r="AD27" s="143">
        <f t="shared" ref="AD27" si="186">AD28</f>
        <v>0</v>
      </c>
      <c r="AE27" s="143">
        <f t="shared" ref="AE27" si="187">AE28</f>
        <v>0</v>
      </c>
      <c r="AF27" s="143">
        <f t="shared" ref="AF27" si="188">AF28</f>
        <v>0</v>
      </c>
      <c r="AG27" s="143">
        <f t="shared" ref="AG27" si="189">AG28</f>
        <v>0</v>
      </c>
      <c r="AH27" s="143">
        <f t="shared" ref="AH27" si="190">AH28</f>
        <v>0</v>
      </c>
      <c r="AI27" s="143">
        <f t="shared" ref="AI27" si="191">AI28</f>
        <v>0</v>
      </c>
      <c r="AJ27" s="143">
        <f t="shared" ref="AJ27" si="192">AJ28</f>
        <v>0</v>
      </c>
      <c r="AK27" s="143">
        <f t="shared" ref="AK27" si="193">AK28</f>
        <v>0</v>
      </c>
      <c r="AL27" s="143">
        <f t="shared" ref="AL27" si="194">AL28</f>
        <v>0</v>
      </c>
      <c r="AM27" s="143">
        <f t="shared" ref="AM27" si="195">AM28</f>
        <v>0</v>
      </c>
      <c r="AN27" s="143">
        <f t="shared" ref="AN27" si="196">AN28</f>
        <v>0</v>
      </c>
      <c r="AO27" s="143">
        <f t="shared" ref="AO27" si="197">AO28</f>
        <v>0</v>
      </c>
      <c r="AP27" s="143">
        <f t="shared" ref="AP27" si="198">AP28</f>
        <v>0</v>
      </c>
      <c r="AQ27" s="143">
        <f t="shared" ref="AQ27" si="199">AQ28</f>
        <v>0</v>
      </c>
      <c r="AR27" s="143">
        <f t="shared" ref="AR27" si="200">AR28</f>
        <v>0</v>
      </c>
      <c r="AS27" s="143">
        <f t="shared" ref="AS27" si="201">AS28</f>
        <v>0</v>
      </c>
      <c r="AT27" s="143">
        <f t="shared" ref="AT27" si="202">AT28</f>
        <v>0</v>
      </c>
      <c r="AU27" s="143">
        <f t="shared" ref="AU27" si="203">AU28</f>
        <v>0</v>
      </c>
      <c r="AV27" s="143">
        <f t="shared" ref="AV27" si="204">AV28</f>
        <v>0</v>
      </c>
      <c r="AW27" s="143">
        <f t="shared" ref="AW27" si="205">AW28</f>
        <v>0</v>
      </c>
      <c r="AX27" s="143">
        <f t="shared" ref="AX27" si="206">AX28</f>
        <v>0</v>
      </c>
      <c r="AY27" s="143">
        <f t="shared" ref="AY27" si="207">AY28</f>
        <v>0</v>
      </c>
      <c r="AZ27" s="143">
        <f t="shared" ref="AZ27" si="208">AZ28</f>
        <v>0</v>
      </c>
      <c r="BA27" s="143">
        <f t="shared" ref="BA27" si="209">BA28</f>
        <v>0</v>
      </c>
      <c r="BB27" s="143">
        <f t="shared" ref="BB27" si="210">BB28</f>
        <v>0</v>
      </c>
      <c r="BC27" s="143">
        <f t="shared" ref="BC27" si="211">BC28</f>
        <v>0</v>
      </c>
      <c r="BD27" s="79"/>
      <c r="BE27" s="79"/>
    </row>
    <row r="28" spans="1:57" s="66" customFormat="1" ht="30">
      <c r="A28" s="87" t="s">
        <v>404</v>
      </c>
      <c r="B28" s="86" t="s">
        <v>405</v>
      </c>
      <c r="C28" s="101" t="s">
        <v>385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5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143">
        <v>0</v>
      </c>
      <c r="BD28" s="79"/>
      <c r="BE28" s="79"/>
    </row>
    <row r="29" spans="1:57" s="66" customFormat="1" ht="45">
      <c r="A29" s="89" t="s">
        <v>406</v>
      </c>
      <c r="B29" s="86" t="s">
        <v>407</v>
      </c>
      <c r="C29" s="101" t="s">
        <v>385</v>
      </c>
      <c r="D29" s="143">
        <f t="shared" ref="D29" si="212">D30+D34</f>
        <v>0</v>
      </c>
      <c r="E29" s="143">
        <f t="shared" ref="E29" si="213">E30+E34</f>
        <v>0</v>
      </c>
      <c r="F29" s="143">
        <f t="shared" ref="F29" si="214">F30+F34</f>
        <v>0</v>
      </c>
      <c r="G29" s="143">
        <f t="shared" ref="G29" si="215">G30+G34</f>
        <v>0</v>
      </c>
      <c r="H29" s="143">
        <f t="shared" ref="H29" si="216">H30+H34</f>
        <v>0</v>
      </c>
      <c r="I29" s="143">
        <f t="shared" ref="I29" si="217">I30+I34</f>
        <v>0</v>
      </c>
      <c r="J29" s="143">
        <f t="shared" ref="J29" si="218">J30+J34</f>
        <v>0</v>
      </c>
      <c r="K29" s="143">
        <f t="shared" ref="K29" si="219">K30+K34</f>
        <v>0</v>
      </c>
      <c r="L29" s="143">
        <f t="shared" ref="L29" si="220">L30+L34</f>
        <v>0</v>
      </c>
      <c r="M29" s="143">
        <f t="shared" ref="M29" si="221">M30+M34</f>
        <v>0</v>
      </c>
      <c r="N29" s="143">
        <f t="shared" ref="N29" si="222">N30+N34</f>
        <v>0</v>
      </c>
      <c r="O29" s="143">
        <f t="shared" ref="O29" si="223">O30+O34</f>
        <v>0</v>
      </c>
      <c r="P29" s="143">
        <f t="shared" ref="P29" si="224">P30+P34</f>
        <v>0</v>
      </c>
      <c r="Q29" s="143">
        <f t="shared" ref="Q29" si="225">Q30+Q34</f>
        <v>0</v>
      </c>
      <c r="R29" s="143">
        <f t="shared" ref="R29" si="226">R30+R34</f>
        <v>0</v>
      </c>
      <c r="S29" s="143">
        <f t="shared" ref="S29" si="227">S30+S34</f>
        <v>0</v>
      </c>
      <c r="T29" s="143">
        <f t="shared" ref="T29" si="228">T30+T34</f>
        <v>0</v>
      </c>
      <c r="U29" s="143">
        <f t="shared" ref="U29" si="229">U30+U34</f>
        <v>0</v>
      </c>
      <c r="V29" s="143">
        <f t="shared" ref="V29" si="230">V30+V34</f>
        <v>0</v>
      </c>
      <c r="W29" s="143">
        <f t="shared" ref="W29" si="231">W30+W34</f>
        <v>0</v>
      </c>
      <c r="X29" s="143">
        <f t="shared" ref="X29" si="232">X30+X34</f>
        <v>9.1050000000000004</v>
      </c>
      <c r="Y29" s="143">
        <f t="shared" ref="Y29" si="233">Y30+Y34</f>
        <v>0</v>
      </c>
      <c r="Z29" s="143">
        <f t="shared" ref="Z29" si="234">Z30+Z34</f>
        <v>0</v>
      </c>
      <c r="AA29" s="143">
        <f t="shared" ref="AA29" si="235">AA30+AA34</f>
        <v>0</v>
      </c>
      <c r="AB29" s="143">
        <f t="shared" ref="AB29" si="236">AB30+AB34</f>
        <v>0</v>
      </c>
      <c r="AC29" s="143">
        <f t="shared" ref="AC29" si="237">AC30+AC34</f>
        <v>0</v>
      </c>
      <c r="AD29" s="143">
        <f t="shared" ref="AD29" si="238">AD30+AD34</f>
        <v>0</v>
      </c>
      <c r="AE29" s="143">
        <f t="shared" ref="AE29" si="239">AE30+AE34</f>
        <v>0</v>
      </c>
      <c r="AF29" s="143">
        <f t="shared" ref="AF29" si="240">AF30+AF34</f>
        <v>0</v>
      </c>
      <c r="AG29" s="143">
        <f t="shared" ref="AG29" si="241">AG30+AG34</f>
        <v>0</v>
      </c>
      <c r="AH29" s="143">
        <f t="shared" ref="AH29" si="242">AH30+AH34</f>
        <v>0</v>
      </c>
      <c r="AI29" s="143">
        <f t="shared" ref="AI29" si="243">AI30+AI34</f>
        <v>0</v>
      </c>
      <c r="AJ29" s="143">
        <f t="shared" ref="AJ29" si="244">AJ30+AJ34</f>
        <v>0</v>
      </c>
      <c r="AK29" s="143">
        <f t="shared" ref="AK29" si="245">AK30+AK34</f>
        <v>0</v>
      </c>
      <c r="AL29" s="143">
        <f t="shared" ref="AL29" si="246">AL30+AL34</f>
        <v>0</v>
      </c>
      <c r="AM29" s="143">
        <f t="shared" ref="AM29" si="247">AM30+AM34</f>
        <v>0</v>
      </c>
      <c r="AN29" s="143">
        <f t="shared" ref="AN29" si="248">AN30+AN34</f>
        <v>0</v>
      </c>
      <c r="AO29" s="143">
        <f t="shared" ref="AO29" si="249">AO30+AO34</f>
        <v>0</v>
      </c>
      <c r="AP29" s="143">
        <f t="shared" ref="AP29" si="250">AP30+AP34</f>
        <v>0</v>
      </c>
      <c r="AQ29" s="143">
        <f t="shared" ref="AQ29" si="251">AQ30+AQ34</f>
        <v>0</v>
      </c>
      <c r="AR29" s="143">
        <f t="shared" ref="AR29" si="252">AR30+AR34</f>
        <v>0</v>
      </c>
      <c r="AS29" s="143">
        <f t="shared" ref="AS29" si="253">AS30+AS34</f>
        <v>0</v>
      </c>
      <c r="AT29" s="143">
        <f t="shared" ref="AT29" si="254">AT30+AT34</f>
        <v>0</v>
      </c>
      <c r="AU29" s="143">
        <f t="shared" ref="AU29" si="255">AU30+AU34</f>
        <v>0</v>
      </c>
      <c r="AV29" s="143">
        <f t="shared" ref="AV29" si="256">AV30+AV34</f>
        <v>0</v>
      </c>
      <c r="AW29" s="143">
        <f t="shared" ref="AW29" si="257">AW30+AW34</f>
        <v>0</v>
      </c>
      <c r="AX29" s="143">
        <f t="shared" ref="AX29" si="258">AX30+AX34</f>
        <v>7.4049999999999994</v>
      </c>
      <c r="AY29" s="143">
        <f t="shared" ref="AY29" si="259">AY30+AY34</f>
        <v>0</v>
      </c>
      <c r="AZ29" s="143">
        <f t="shared" ref="AZ29" si="260">AZ30+AZ34</f>
        <v>0</v>
      </c>
      <c r="BA29" s="143">
        <f t="shared" ref="BA29" si="261">BA30+BA34</f>
        <v>0</v>
      </c>
      <c r="BB29" s="143">
        <f t="shared" ref="BB29" si="262">BB30+BB34</f>
        <v>0</v>
      </c>
      <c r="BC29" s="143">
        <f t="shared" ref="BC29" si="263">BC30+BC34</f>
        <v>0</v>
      </c>
      <c r="BD29" s="79"/>
      <c r="BE29" s="79"/>
    </row>
    <row r="30" spans="1:57" s="66" customFormat="1" ht="30">
      <c r="A30" s="87" t="s">
        <v>408</v>
      </c>
      <c r="B30" s="86" t="s">
        <v>409</v>
      </c>
      <c r="C30" s="101" t="s">
        <v>385</v>
      </c>
      <c r="D30" s="143">
        <f t="shared" ref="D30" si="264">D32+D33</f>
        <v>0</v>
      </c>
      <c r="E30" s="143">
        <f t="shared" ref="E30:AW30" si="265">E32+E33</f>
        <v>0</v>
      </c>
      <c r="F30" s="143">
        <f t="shared" si="265"/>
        <v>0</v>
      </c>
      <c r="G30" s="143">
        <f t="shared" si="265"/>
        <v>0</v>
      </c>
      <c r="H30" s="143">
        <f t="shared" si="265"/>
        <v>0</v>
      </c>
      <c r="I30" s="143">
        <f t="shared" si="265"/>
        <v>0</v>
      </c>
      <c r="J30" s="143">
        <f t="shared" si="265"/>
        <v>0</v>
      </c>
      <c r="K30" s="143">
        <f t="shared" si="265"/>
        <v>0</v>
      </c>
      <c r="L30" s="143">
        <f t="shared" si="265"/>
        <v>0</v>
      </c>
      <c r="M30" s="143">
        <f t="shared" si="265"/>
        <v>0</v>
      </c>
      <c r="N30" s="143">
        <f t="shared" si="265"/>
        <v>0</v>
      </c>
      <c r="O30" s="143">
        <f t="shared" si="265"/>
        <v>0</v>
      </c>
      <c r="P30" s="143">
        <f t="shared" si="265"/>
        <v>0</v>
      </c>
      <c r="Q30" s="143">
        <f t="shared" si="265"/>
        <v>0</v>
      </c>
      <c r="R30" s="143">
        <f t="shared" si="265"/>
        <v>0</v>
      </c>
      <c r="S30" s="143">
        <f t="shared" si="265"/>
        <v>0</v>
      </c>
      <c r="T30" s="143">
        <f t="shared" si="265"/>
        <v>0</v>
      </c>
      <c r="U30" s="143">
        <f t="shared" si="265"/>
        <v>0</v>
      </c>
      <c r="V30" s="143">
        <f>V32+V33+V31</f>
        <v>0</v>
      </c>
      <c r="W30" s="143">
        <f t="shared" si="265"/>
        <v>0</v>
      </c>
      <c r="X30" s="143">
        <f>X32+X33+X31</f>
        <v>7.6050000000000004</v>
      </c>
      <c r="Y30" s="143">
        <f t="shared" si="265"/>
        <v>0</v>
      </c>
      <c r="Z30" s="143">
        <f t="shared" si="265"/>
        <v>0</v>
      </c>
      <c r="AA30" s="143">
        <f t="shared" si="265"/>
        <v>0</v>
      </c>
      <c r="AB30" s="143">
        <f t="shared" si="265"/>
        <v>0</v>
      </c>
      <c r="AC30" s="143">
        <f t="shared" si="265"/>
        <v>0</v>
      </c>
      <c r="AD30" s="143">
        <f t="shared" si="265"/>
        <v>0</v>
      </c>
      <c r="AE30" s="143">
        <f t="shared" si="265"/>
        <v>0</v>
      </c>
      <c r="AF30" s="143">
        <f t="shared" si="265"/>
        <v>0</v>
      </c>
      <c r="AG30" s="143">
        <f t="shared" si="265"/>
        <v>0</v>
      </c>
      <c r="AH30" s="143">
        <f t="shared" si="265"/>
        <v>0</v>
      </c>
      <c r="AI30" s="143">
        <f t="shared" si="265"/>
        <v>0</v>
      </c>
      <c r="AJ30" s="143">
        <f t="shared" si="265"/>
        <v>0</v>
      </c>
      <c r="AK30" s="143">
        <f t="shared" si="265"/>
        <v>0</v>
      </c>
      <c r="AL30" s="143">
        <f t="shared" si="265"/>
        <v>0</v>
      </c>
      <c r="AM30" s="143">
        <f t="shared" si="265"/>
        <v>0</v>
      </c>
      <c r="AN30" s="143">
        <f t="shared" si="265"/>
        <v>0</v>
      </c>
      <c r="AO30" s="143">
        <f t="shared" si="265"/>
        <v>0</v>
      </c>
      <c r="AP30" s="143">
        <f t="shared" si="265"/>
        <v>0</v>
      </c>
      <c r="AQ30" s="143">
        <f t="shared" si="265"/>
        <v>0</v>
      </c>
      <c r="AR30" s="143">
        <f t="shared" si="265"/>
        <v>0</v>
      </c>
      <c r="AS30" s="143">
        <f t="shared" si="265"/>
        <v>0</v>
      </c>
      <c r="AT30" s="143">
        <f t="shared" si="265"/>
        <v>0</v>
      </c>
      <c r="AU30" s="143">
        <f t="shared" si="265"/>
        <v>0</v>
      </c>
      <c r="AV30" s="143">
        <f t="shared" si="265"/>
        <v>0</v>
      </c>
      <c r="AW30" s="143">
        <f t="shared" si="265"/>
        <v>0</v>
      </c>
      <c r="AX30" s="143">
        <f>AX32+AX33+AX31</f>
        <v>6.8359999999999994</v>
      </c>
      <c r="AY30" s="143">
        <f t="shared" ref="AY30:BC30" si="266">AY32+AY33+AY31</f>
        <v>0</v>
      </c>
      <c r="AZ30" s="143">
        <f t="shared" si="266"/>
        <v>0</v>
      </c>
      <c r="BA30" s="143">
        <f t="shared" si="266"/>
        <v>0</v>
      </c>
      <c r="BB30" s="143">
        <f t="shared" si="266"/>
        <v>0</v>
      </c>
      <c r="BC30" s="143">
        <f t="shared" si="266"/>
        <v>0</v>
      </c>
      <c r="BD30" s="79"/>
      <c r="BE30" s="79"/>
    </row>
    <row r="31" spans="1:57" s="66" customFormat="1" ht="45">
      <c r="A31" s="91" t="s">
        <v>410</v>
      </c>
      <c r="B31" s="92" t="s">
        <v>411</v>
      </c>
      <c r="C31" s="102" t="s">
        <v>412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f>'15'!G30</f>
        <v>1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f>'10'!G30</f>
        <v>0.99999999999999989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79"/>
      <c r="BE31" s="79"/>
    </row>
    <row r="32" spans="1:57" s="66" customFormat="1" ht="60">
      <c r="A32" s="121" t="s">
        <v>442</v>
      </c>
      <c r="B32" s="122" t="s">
        <v>414</v>
      </c>
      <c r="C32" s="123" t="s">
        <v>308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f>'15'!G31</f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79"/>
      <c r="BE32" s="79"/>
    </row>
    <row r="33" spans="1:57" s="66" customFormat="1" ht="45">
      <c r="A33" s="91" t="s">
        <v>443</v>
      </c>
      <c r="B33" s="92" t="s">
        <v>416</v>
      </c>
      <c r="C33" s="102" t="s">
        <v>417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f>'15'!G32</f>
        <v>6.6050000000000004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f>'10'!G32</f>
        <v>5.8359999999999994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79"/>
      <c r="BE33" s="79"/>
    </row>
    <row r="34" spans="1:57" s="66" customFormat="1" ht="31.5">
      <c r="A34" s="114" t="s">
        <v>418</v>
      </c>
      <c r="B34" s="105" t="s">
        <v>419</v>
      </c>
      <c r="C34" s="103" t="s">
        <v>385</v>
      </c>
      <c r="D34" s="143">
        <f t="shared" ref="D34" si="267">D35</f>
        <v>0</v>
      </c>
      <c r="E34" s="143">
        <f t="shared" ref="E34" si="268">E35</f>
        <v>0</v>
      </c>
      <c r="F34" s="143">
        <f t="shared" ref="F34" si="269">F35</f>
        <v>0</v>
      </c>
      <c r="G34" s="143">
        <f t="shared" ref="G34" si="270">G35</f>
        <v>0</v>
      </c>
      <c r="H34" s="143">
        <f t="shared" ref="H34" si="271">H35</f>
        <v>0</v>
      </c>
      <c r="I34" s="143">
        <f t="shared" ref="I34" si="272">I35</f>
        <v>0</v>
      </c>
      <c r="J34" s="143">
        <f t="shared" ref="J34" si="273">J35</f>
        <v>0</v>
      </c>
      <c r="K34" s="143">
        <f t="shared" ref="K34" si="274">K35</f>
        <v>0</v>
      </c>
      <c r="L34" s="143">
        <f t="shared" ref="L34" si="275">L35</f>
        <v>0</v>
      </c>
      <c r="M34" s="143">
        <f t="shared" ref="M34" si="276">M35</f>
        <v>0</v>
      </c>
      <c r="N34" s="143">
        <f t="shared" ref="N34" si="277">N35</f>
        <v>0</v>
      </c>
      <c r="O34" s="143">
        <f t="shared" ref="O34" si="278">O35</f>
        <v>0</v>
      </c>
      <c r="P34" s="143">
        <f t="shared" ref="P34" si="279">P35</f>
        <v>0</v>
      </c>
      <c r="Q34" s="143">
        <f t="shared" ref="Q34" si="280">Q35</f>
        <v>0</v>
      </c>
      <c r="R34" s="143">
        <f t="shared" ref="R34" si="281">R35</f>
        <v>0</v>
      </c>
      <c r="S34" s="143">
        <f t="shared" ref="S34" si="282">S35</f>
        <v>0</v>
      </c>
      <c r="T34" s="143">
        <f t="shared" ref="T34" si="283">T35</f>
        <v>0</v>
      </c>
      <c r="U34" s="143">
        <f t="shared" ref="U34" si="284">U35</f>
        <v>0</v>
      </c>
      <c r="V34" s="143">
        <f t="shared" ref="V34" si="285">V35</f>
        <v>0</v>
      </c>
      <c r="W34" s="143">
        <f t="shared" ref="W34" si="286">W35</f>
        <v>0</v>
      </c>
      <c r="X34" s="143">
        <f>'15'!G33</f>
        <v>1.5</v>
      </c>
      <c r="Y34" s="143">
        <f t="shared" ref="Y34" si="287">Y35</f>
        <v>0</v>
      </c>
      <c r="Z34" s="143">
        <f t="shared" ref="Z34" si="288">Z35</f>
        <v>0</v>
      </c>
      <c r="AA34" s="143">
        <f t="shared" ref="AA34" si="289">AA35</f>
        <v>0</v>
      </c>
      <c r="AB34" s="143">
        <f t="shared" ref="AB34" si="290">AB35</f>
        <v>0</v>
      </c>
      <c r="AC34" s="143">
        <f t="shared" ref="AC34" si="291">AC35</f>
        <v>0</v>
      </c>
      <c r="AD34" s="143">
        <f t="shared" ref="AD34" si="292">AD35</f>
        <v>0</v>
      </c>
      <c r="AE34" s="143">
        <f t="shared" ref="AE34" si="293">AE35</f>
        <v>0</v>
      </c>
      <c r="AF34" s="143">
        <f t="shared" ref="AF34" si="294">AF35</f>
        <v>0</v>
      </c>
      <c r="AG34" s="143">
        <f t="shared" ref="AG34" si="295">AG35</f>
        <v>0</v>
      </c>
      <c r="AH34" s="143">
        <f t="shared" ref="AH34" si="296">AH35</f>
        <v>0</v>
      </c>
      <c r="AI34" s="143">
        <f t="shared" ref="AI34" si="297">AI35</f>
        <v>0</v>
      </c>
      <c r="AJ34" s="143">
        <f t="shared" ref="AJ34" si="298">AJ35</f>
        <v>0</v>
      </c>
      <c r="AK34" s="143">
        <f t="shared" ref="AK34" si="299">AK35</f>
        <v>0</v>
      </c>
      <c r="AL34" s="143">
        <f t="shared" ref="AL34" si="300">AL35</f>
        <v>0</v>
      </c>
      <c r="AM34" s="143">
        <f t="shared" ref="AM34" si="301">AM35</f>
        <v>0</v>
      </c>
      <c r="AN34" s="143">
        <f t="shared" ref="AN34" si="302">AN35</f>
        <v>0</v>
      </c>
      <c r="AO34" s="143">
        <f t="shared" ref="AO34" si="303">AO35</f>
        <v>0</v>
      </c>
      <c r="AP34" s="143">
        <f t="shared" ref="AP34" si="304">AP35</f>
        <v>0</v>
      </c>
      <c r="AQ34" s="143">
        <f t="shared" ref="AQ34" si="305">AQ35</f>
        <v>0</v>
      </c>
      <c r="AR34" s="143">
        <f t="shared" ref="AR34" si="306">AR35</f>
        <v>0</v>
      </c>
      <c r="AS34" s="143">
        <f t="shared" ref="AS34" si="307">AS35</f>
        <v>0</v>
      </c>
      <c r="AT34" s="143">
        <f t="shared" ref="AT34" si="308">AT35</f>
        <v>0</v>
      </c>
      <c r="AU34" s="143">
        <f t="shared" ref="AU34" si="309">AU35</f>
        <v>0</v>
      </c>
      <c r="AV34" s="143">
        <f t="shared" ref="AV34" si="310">AV35</f>
        <v>0</v>
      </c>
      <c r="AW34" s="143">
        <f t="shared" ref="AW34" si="311">AW35</f>
        <v>0</v>
      </c>
      <c r="AX34" s="143">
        <f t="shared" ref="AX34" si="312">AX35</f>
        <v>0.56900000000000006</v>
      </c>
      <c r="AY34" s="143">
        <f t="shared" ref="AY34" si="313">AY35</f>
        <v>0</v>
      </c>
      <c r="AZ34" s="143">
        <f t="shared" ref="AZ34" si="314">AZ35</f>
        <v>0</v>
      </c>
      <c r="BA34" s="143">
        <f t="shared" ref="BA34" si="315">BA35</f>
        <v>0</v>
      </c>
      <c r="BB34" s="143">
        <f t="shared" ref="BB34" si="316">BB35</f>
        <v>0</v>
      </c>
      <c r="BC34" s="143">
        <f t="shared" ref="BC34" si="317">BC35</f>
        <v>0</v>
      </c>
      <c r="BD34" s="79"/>
      <c r="BE34" s="79"/>
    </row>
    <row r="35" spans="1:57" s="66" customFormat="1" ht="47.25">
      <c r="A35" s="93" t="s">
        <v>420</v>
      </c>
      <c r="B35" s="94" t="s">
        <v>421</v>
      </c>
      <c r="C35" s="103" t="s">
        <v>422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f>'15'!G34</f>
        <v>1.5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f>'10'!G34</f>
        <v>0.56900000000000006</v>
      </c>
      <c r="AY35" s="143">
        <v>0</v>
      </c>
      <c r="AZ35" s="143">
        <v>0</v>
      </c>
      <c r="BA35" s="143">
        <v>0</v>
      </c>
      <c r="BB35" s="143">
        <v>0</v>
      </c>
      <c r="BC35" s="143">
        <v>0</v>
      </c>
      <c r="BD35" s="79"/>
      <c r="BE35" s="79"/>
    </row>
    <row r="36" spans="1:57" s="66" customFormat="1" ht="28.5">
      <c r="A36" s="89" t="s">
        <v>423</v>
      </c>
      <c r="B36" s="95" t="s">
        <v>424</v>
      </c>
      <c r="C36" s="104" t="s">
        <v>385</v>
      </c>
      <c r="D36" s="143">
        <f t="shared" ref="D36:S36" si="318">D37</f>
        <v>0</v>
      </c>
      <c r="E36" s="143">
        <f t="shared" si="318"/>
        <v>0</v>
      </c>
      <c r="F36" s="143">
        <f t="shared" si="318"/>
        <v>0</v>
      </c>
      <c r="G36" s="143">
        <f t="shared" si="318"/>
        <v>0</v>
      </c>
      <c r="H36" s="143">
        <f t="shared" si="318"/>
        <v>0</v>
      </c>
      <c r="I36" s="143">
        <f t="shared" si="318"/>
        <v>0</v>
      </c>
      <c r="J36" s="143">
        <f t="shared" si="318"/>
        <v>0</v>
      </c>
      <c r="K36" s="143">
        <f t="shared" si="318"/>
        <v>0</v>
      </c>
      <c r="L36" s="143">
        <f t="shared" si="318"/>
        <v>0</v>
      </c>
      <c r="M36" s="143">
        <f t="shared" si="318"/>
        <v>0</v>
      </c>
      <c r="N36" s="143">
        <f t="shared" si="318"/>
        <v>0</v>
      </c>
      <c r="O36" s="143">
        <f t="shared" si="318"/>
        <v>0</v>
      </c>
      <c r="P36" s="143">
        <f t="shared" si="318"/>
        <v>0</v>
      </c>
      <c r="Q36" s="143">
        <f t="shared" si="318"/>
        <v>0</v>
      </c>
      <c r="R36" s="143">
        <f t="shared" si="318"/>
        <v>0</v>
      </c>
      <c r="S36" s="143">
        <f t="shared" si="318"/>
        <v>0</v>
      </c>
      <c r="T36" s="143">
        <f t="shared" ref="T36:BC36" si="319">T37</f>
        <v>0</v>
      </c>
      <c r="U36" s="143">
        <f t="shared" si="319"/>
        <v>0</v>
      </c>
      <c r="V36" s="143">
        <f t="shared" si="319"/>
        <v>0</v>
      </c>
      <c r="W36" s="143">
        <f t="shared" si="319"/>
        <v>0</v>
      </c>
      <c r="X36" s="143">
        <f t="shared" si="319"/>
        <v>0</v>
      </c>
      <c r="Y36" s="143">
        <f t="shared" si="319"/>
        <v>0</v>
      </c>
      <c r="Z36" s="143">
        <f t="shared" si="319"/>
        <v>0</v>
      </c>
      <c r="AA36" s="143">
        <f t="shared" si="319"/>
        <v>0</v>
      </c>
      <c r="AB36" s="143">
        <f t="shared" si="319"/>
        <v>0</v>
      </c>
      <c r="AC36" s="143">
        <f t="shared" si="319"/>
        <v>0</v>
      </c>
      <c r="AD36" s="143">
        <f t="shared" si="319"/>
        <v>0</v>
      </c>
      <c r="AE36" s="143">
        <f t="shared" si="319"/>
        <v>0</v>
      </c>
      <c r="AF36" s="143">
        <f t="shared" si="319"/>
        <v>0</v>
      </c>
      <c r="AG36" s="143">
        <f t="shared" si="319"/>
        <v>0</v>
      </c>
      <c r="AH36" s="143">
        <f t="shared" si="319"/>
        <v>0</v>
      </c>
      <c r="AI36" s="143">
        <f t="shared" si="319"/>
        <v>0</v>
      </c>
      <c r="AJ36" s="143">
        <f t="shared" si="319"/>
        <v>0</v>
      </c>
      <c r="AK36" s="143">
        <f t="shared" si="319"/>
        <v>0</v>
      </c>
      <c r="AL36" s="143">
        <f t="shared" si="319"/>
        <v>0</v>
      </c>
      <c r="AM36" s="143">
        <f t="shared" si="319"/>
        <v>0</v>
      </c>
      <c r="AN36" s="143">
        <f t="shared" si="319"/>
        <v>0</v>
      </c>
      <c r="AO36" s="143">
        <f t="shared" si="319"/>
        <v>0</v>
      </c>
      <c r="AP36" s="143">
        <f t="shared" si="319"/>
        <v>0</v>
      </c>
      <c r="AQ36" s="143">
        <f t="shared" si="319"/>
        <v>0</v>
      </c>
      <c r="AR36" s="143">
        <f t="shared" si="319"/>
        <v>0</v>
      </c>
      <c r="AS36" s="143">
        <f t="shared" si="319"/>
        <v>0</v>
      </c>
      <c r="AT36" s="143">
        <f t="shared" si="319"/>
        <v>0</v>
      </c>
      <c r="AU36" s="143">
        <f t="shared" si="319"/>
        <v>0</v>
      </c>
      <c r="AV36" s="143">
        <f t="shared" si="319"/>
        <v>0</v>
      </c>
      <c r="AW36" s="143">
        <f t="shared" si="319"/>
        <v>0</v>
      </c>
      <c r="AX36" s="143">
        <f t="shared" si="319"/>
        <v>2.0990000000000002</v>
      </c>
      <c r="AY36" s="143">
        <f t="shared" si="319"/>
        <v>0</v>
      </c>
      <c r="AZ36" s="143">
        <f t="shared" si="319"/>
        <v>0</v>
      </c>
      <c r="BA36" s="143">
        <f t="shared" si="319"/>
        <v>0</v>
      </c>
      <c r="BB36" s="143">
        <f t="shared" si="319"/>
        <v>0</v>
      </c>
      <c r="BC36" s="143">
        <f t="shared" si="319"/>
        <v>0</v>
      </c>
      <c r="BD36" s="79"/>
      <c r="BE36" s="79"/>
    </row>
    <row r="37" spans="1:57" s="66" customFormat="1" ht="30">
      <c r="A37" s="96" t="s">
        <v>425</v>
      </c>
      <c r="B37" s="97" t="s">
        <v>426</v>
      </c>
      <c r="C37" s="104" t="s">
        <v>385</v>
      </c>
      <c r="D37" s="143">
        <f>D38+D39</f>
        <v>0</v>
      </c>
      <c r="E37" s="143">
        <f t="shared" ref="E37:BC37" si="320">E38+E39</f>
        <v>0</v>
      </c>
      <c r="F37" s="143">
        <f t="shared" si="320"/>
        <v>0</v>
      </c>
      <c r="G37" s="143">
        <f t="shared" si="320"/>
        <v>0</v>
      </c>
      <c r="H37" s="143">
        <f t="shared" si="320"/>
        <v>0</v>
      </c>
      <c r="I37" s="143">
        <f t="shared" si="320"/>
        <v>0</v>
      </c>
      <c r="J37" s="143">
        <f t="shared" si="320"/>
        <v>0</v>
      </c>
      <c r="K37" s="143">
        <f t="shared" si="320"/>
        <v>0</v>
      </c>
      <c r="L37" s="143">
        <f t="shared" si="320"/>
        <v>0</v>
      </c>
      <c r="M37" s="143">
        <f t="shared" si="320"/>
        <v>0</v>
      </c>
      <c r="N37" s="143">
        <f t="shared" si="320"/>
        <v>0</v>
      </c>
      <c r="O37" s="143">
        <f t="shared" si="320"/>
        <v>0</v>
      </c>
      <c r="P37" s="143">
        <f t="shared" si="320"/>
        <v>0</v>
      </c>
      <c r="Q37" s="143">
        <f t="shared" si="320"/>
        <v>0</v>
      </c>
      <c r="R37" s="143">
        <f t="shared" si="320"/>
        <v>0</v>
      </c>
      <c r="S37" s="143">
        <f t="shared" si="320"/>
        <v>0</v>
      </c>
      <c r="T37" s="143">
        <f t="shared" si="320"/>
        <v>0</v>
      </c>
      <c r="U37" s="143">
        <f t="shared" si="320"/>
        <v>0</v>
      </c>
      <c r="V37" s="143">
        <f t="shared" si="320"/>
        <v>0</v>
      </c>
      <c r="W37" s="143">
        <f t="shared" si="320"/>
        <v>0</v>
      </c>
      <c r="X37" s="143">
        <f t="shared" si="320"/>
        <v>0</v>
      </c>
      <c r="Y37" s="143">
        <f t="shared" si="320"/>
        <v>0</v>
      </c>
      <c r="Z37" s="143">
        <f t="shared" si="320"/>
        <v>0</v>
      </c>
      <c r="AA37" s="143">
        <f t="shared" si="320"/>
        <v>0</v>
      </c>
      <c r="AB37" s="143">
        <f t="shared" si="320"/>
        <v>0</v>
      </c>
      <c r="AC37" s="143">
        <f t="shared" si="320"/>
        <v>0</v>
      </c>
      <c r="AD37" s="143">
        <f t="shared" si="320"/>
        <v>0</v>
      </c>
      <c r="AE37" s="143">
        <f t="shared" si="320"/>
        <v>0</v>
      </c>
      <c r="AF37" s="143">
        <f t="shared" si="320"/>
        <v>0</v>
      </c>
      <c r="AG37" s="143">
        <f t="shared" si="320"/>
        <v>0</v>
      </c>
      <c r="AH37" s="143">
        <f t="shared" si="320"/>
        <v>0</v>
      </c>
      <c r="AI37" s="143">
        <f t="shared" si="320"/>
        <v>0</v>
      </c>
      <c r="AJ37" s="143">
        <f t="shared" si="320"/>
        <v>0</v>
      </c>
      <c r="AK37" s="143">
        <f t="shared" si="320"/>
        <v>0</v>
      </c>
      <c r="AL37" s="143">
        <f t="shared" si="320"/>
        <v>0</v>
      </c>
      <c r="AM37" s="143">
        <f t="shared" si="320"/>
        <v>0</v>
      </c>
      <c r="AN37" s="143">
        <f t="shared" si="320"/>
        <v>0</v>
      </c>
      <c r="AO37" s="143">
        <f t="shared" si="320"/>
        <v>0</v>
      </c>
      <c r="AP37" s="143">
        <f t="shared" si="320"/>
        <v>0</v>
      </c>
      <c r="AQ37" s="143">
        <f t="shared" si="320"/>
        <v>0</v>
      </c>
      <c r="AR37" s="143">
        <f t="shared" si="320"/>
        <v>0</v>
      </c>
      <c r="AS37" s="143">
        <f t="shared" si="320"/>
        <v>0</v>
      </c>
      <c r="AT37" s="143">
        <f t="shared" si="320"/>
        <v>0</v>
      </c>
      <c r="AU37" s="143">
        <f t="shared" si="320"/>
        <v>0</v>
      </c>
      <c r="AV37" s="143">
        <f t="shared" si="320"/>
        <v>0</v>
      </c>
      <c r="AW37" s="143">
        <f t="shared" si="320"/>
        <v>0</v>
      </c>
      <c r="AX37" s="143">
        <f t="shared" si="320"/>
        <v>2.0990000000000002</v>
      </c>
      <c r="AY37" s="143">
        <f t="shared" si="320"/>
        <v>0</v>
      </c>
      <c r="AZ37" s="143">
        <f t="shared" si="320"/>
        <v>0</v>
      </c>
      <c r="BA37" s="143">
        <f t="shared" si="320"/>
        <v>0</v>
      </c>
      <c r="BB37" s="143">
        <f t="shared" si="320"/>
        <v>0</v>
      </c>
      <c r="BC37" s="143">
        <f t="shared" si="320"/>
        <v>0</v>
      </c>
      <c r="BD37" s="79"/>
      <c r="BE37" s="79"/>
    </row>
    <row r="38" spans="1:57" s="66" customFormat="1" ht="30">
      <c r="A38" s="128" t="s">
        <v>427</v>
      </c>
      <c r="B38" s="129" t="s">
        <v>428</v>
      </c>
      <c r="C38" s="130" t="s">
        <v>273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v>0</v>
      </c>
      <c r="AN38" s="144">
        <v>0</v>
      </c>
      <c r="AO38" s="144">
        <v>0</v>
      </c>
      <c r="AP38" s="144">
        <v>0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144">
        <v>0</v>
      </c>
      <c r="AW38" s="144">
        <v>0</v>
      </c>
      <c r="AX38" s="143">
        <f>'10'!G37</f>
        <v>1.3580000000000001</v>
      </c>
      <c r="AY38" s="144">
        <v>0</v>
      </c>
      <c r="AZ38" s="144">
        <v>0</v>
      </c>
      <c r="BA38" s="144">
        <v>0</v>
      </c>
      <c r="BB38" s="144">
        <v>0</v>
      </c>
      <c r="BC38" s="144">
        <v>0</v>
      </c>
      <c r="BD38" s="79"/>
      <c r="BE38" s="79"/>
    </row>
    <row r="39" spans="1:57" s="66" customFormat="1" ht="29.25" customHeight="1">
      <c r="A39" s="128" t="s">
        <v>1063</v>
      </c>
      <c r="B39" s="129" t="s">
        <v>428</v>
      </c>
      <c r="C39" s="130" t="s">
        <v>1116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44">
        <v>0</v>
      </c>
      <c r="AN39" s="144">
        <v>0</v>
      </c>
      <c r="AO39" s="144">
        <v>0</v>
      </c>
      <c r="AP39" s="144">
        <v>0</v>
      </c>
      <c r="AQ39" s="144">
        <v>0</v>
      </c>
      <c r="AR39" s="144">
        <v>0</v>
      </c>
      <c r="AS39" s="144">
        <v>0</v>
      </c>
      <c r="AT39" s="144">
        <v>0</v>
      </c>
      <c r="AU39" s="144">
        <v>0</v>
      </c>
      <c r="AV39" s="144">
        <v>0</v>
      </c>
      <c r="AW39" s="144">
        <v>0</v>
      </c>
      <c r="AX39" s="143">
        <f>'10'!G38</f>
        <v>0.74099999999999999</v>
      </c>
      <c r="AY39" s="144">
        <v>0</v>
      </c>
      <c r="AZ39" s="144">
        <v>0</v>
      </c>
      <c r="BA39" s="144">
        <v>0</v>
      </c>
      <c r="BB39" s="144">
        <v>0</v>
      </c>
      <c r="BC39" s="144">
        <v>0</v>
      </c>
      <c r="BD39" s="79"/>
      <c r="BE39" s="79"/>
    </row>
    <row r="40" spans="1:57" s="66" customFormat="1" ht="28.5">
      <c r="A40" s="89" t="s">
        <v>429</v>
      </c>
      <c r="B40" s="90" t="s">
        <v>430</v>
      </c>
      <c r="C40" s="101"/>
      <c r="D40" s="143">
        <f t="shared" ref="D40" si="321">D41+D42+D43</f>
        <v>0</v>
      </c>
      <c r="E40" s="143">
        <f t="shared" ref="E40" si="322">E41+E42+E43</f>
        <v>0</v>
      </c>
      <c r="F40" s="143">
        <f t="shared" ref="F40" si="323">F41+F42+F43</f>
        <v>0</v>
      </c>
      <c r="G40" s="143">
        <f t="shared" ref="G40" si="324">G41+G42+G43</f>
        <v>0</v>
      </c>
      <c r="H40" s="143">
        <f t="shared" ref="H40" si="325">H41+H42+H43</f>
        <v>0</v>
      </c>
      <c r="I40" s="143">
        <f t="shared" ref="I40" si="326">I41+I42+I43</f>
        <v>0</v>
      </c>
      <c r="J40" s="143">
        <f t="shared" ref="J40" si="327">J41+J42+J43</f>
        <v>0</v>
      </c>
      <c r="K40" s="143">
        <f t="shared" ref="K40" si="328">K41+K42+K43</f>
        <v>0</v>
      </c>
      <c r="L40" s="143">
        <f t="shared" ref="L40" si="329">L41+L42+L43</f>
        <v>0</v>
      </c>
      <c r="M40" s="143">
        <f t="shared" ref="M40" si="330">M41+M42+M43</f>
        <v>0</v>
      </c>
      <c r="N40" s="143">
        <f t="shared" ref="N40" si="331">N41+N42+N43</f>
        <v>0</v>
      </c>
      <c r="O40" s="143">
        <f t="shared" ref="O40" si="332">O41+O42+O43</f>
        <v>0</v>
      </c>
      <c r="P40" s="143">
        <f t="shared" ref="P40" si="333">P41+P42+P43</f>
        <v>0</v>
      </c>
      <c r="Q40" s="143">
        <f t="shared" ref="Q40" si="334">Q41+Q42+Q43</f>
        <v>0</v>
      </c>
      <c r="R40" s="143">
        <f t="shared" ref="R40" si="335">R41+R42+R43</f>
        <v>0</v>
      </c>
      <c r="S40" s="143">
        <f t="shared" ref="S40" si="336">S41+S42+S43</f>
        <v>0</v>
      </c>
      <c r="T40" s="143">
        <f t="shared" ref="T40" si="337">T41+T42+T43</f>
        <v>0</v>
      </c>
      <c r="U40" s="143">
        <f t="shared" ref="U40" si="338">U41+U42+U43</f>
        <v>0</v>
      </c>
      <c r="V40" s="143">
        <f t="shared" ref="V40" si="339">V41+V42+V43</f>
        <v>0.1</v>
      </c>
      <c r="W40" s="143">
        <f t="shared" ref="W40" si="340">W41+W42+W43</f>
        <v>0</v>
      </c>
      <c r="X40" s="143">
        <f t="shared" ref="X40" si="341">X41+X42+X43</f>
        <v>3.92</v>
      </c>
      <c r="Y40" s="143">
        <f t="shared" ref="Y40" si="342">Y41+Y42+Y43</f>
        <v>0</v>
      </c>
      <c r="Z40" s="143">
        <f t="shared" ref="Z40" si="343">Z41+Z42+Z43</f>
        <v>0</v>
      </c>
      <c r="AA40" s="143">
        <f t="shared" ref="AA40" si="344">AA41+AA42+AA43</f>
        <v>0</v>
      </c>
      <c r="AB40" s="143">
        <f t="shared" ref="AB40" si="345">AB41+AB42+AB43</f>
        <v>0</v>
      </c>
      <c r="AC40" s="143">
        <f t="shared" ref="AC40" si="346">AC41+AC42+AC43</f>
        <v>0</v>
      </c>
      <c r="AD40" s="143">
        <f t="shared" ref="AD40" si="347">AD41+AD42+AD43</f>
        <v>0</v>
      </c>
      <c r="AE40" s="143">
        <f t="shared" ref="AE40" si="348">AE41+AE42+AE43</f>
        <v>0</v>
      </c>
      <c r="AF40" s="143">
        <f t="shared" ref="AF40" si="349">AF41+AF42+AF43</f>
        <v>0</v>
      </c>
      <c r="AG40" s="143">
        <f t="shared" ref="AG40" si="350">AG41+AG42+AG43</f>
        <v>0</v>
      </c>
      <c r="AH40" s="143">
        <f t="shared" ref="AH40" si="351">AH41+AH42+AH43</f>
        <v>0</v>
      </c>
      <c r="AI40" s="143">
        <f t="shared" ref="AI40" si="352">AI41+AI42+AI43</f>
        <v>0</v>
      </c>
      <c r="AJ40" s="143">
        <f t="shared" ref="AJ40" si="353">AJ41+AJ42+AJ43</f>
        <v>0</v>
      </c>
      <c r="AK40" s="143">
        <f t="shared" ref="AK40" si="354">AK41+AK42+AK43</f>
        <v>0</v>
      </c>
      <c r="AL40" s="143">
        <f t="shared" ref="AL40" si="355">AL41+AL42+AL43</f>
        <v>0</v>
      </c>
      <c r="AM40" s="143">
        <f t="shared" ref="AM40" si="356">AM41+AM42+AM43</f>
        <v>0</v>
      </c>
      <c r="AN40" s="143">
        <f t="shared" ref="AN40" si="357">AN41+AN42+AN43</f>
        <v>0</v>
      </c>
      <c r="AO40" s="143">
        <f t="shared" ref="AO40" si="358">AO41+AO42+AO43</f>
        <v>0</v>
      </c>
      <c r="AP40" s="143">
        <f t="shared" ref="AP40" si="359">AP41+AP42+AP43</f>
        <v>0</v>
      </c>
      <c r="AQ40" s="143">
        <f t="shared" ref="AQ40" si="360">AQ41+AQ42+AQ43</f>
        <v>0</v>
      </c>
      <c r="AR40" s="143">
        <f t="shared" ref="AR40" si="361">AR41+AR42+AR43</f>
        <v>0</v>
      </c>
      <c r="AS40" s="143">
        <f t="shared" ref="AS40" si="362">AS41+AS42+AS43</f>
        <v>0</v>
      </c>
      <c r="AT40" s="143">
        <f t="shared" ref="AT40" si="363">AT41+AT42+AT43</f>
        <v>0</v>
      </c>
      <c r="AU40" s="143">
        <f t="shared" ref="AU40" si="364">AU41+AU42+AU43</f>
        <v>0</v>
      </c>
      <c r="AV40" s="143">
        <f t="shared" ref="AV40" si="365">AV41+AV42+AV43</f>
        <v>0</v>
      </c>
      <c r="AW40" s="143">
        <f t="shared" ref="AW40" si="366">AW41+AW42+AW43</f>
        <v>0</v>
      </c>
      <c r="AX40" s="143">
        <f t="shared" ref="AX40" si="367">AX41+AX42+AX43</f>
        <v>3.8360000000000003</v>
      </c>
      <c r="AY40" s="143">
        <f t="shared" ref="AY40" si="368">AY41+AY42+AY43</f>
        <v>0</v>
      </c>
      <c r="AZ40" s="143">
        <f t="shared" ref="AZ40" si="369">AZ41+AZ42+AZ43</f>
        <v>0</v>
      </c>
      <c r="BA40" s="143">
        <f t="shared" ref="BA40" si="370">BA41+BA42+BA43</f>
        <v>0</v>
      </c>
      <c r="BB40" s="143">
        <f t="shared" ref="BB40" si="371">BB41+BB42+BB43</f>
        <v>0</v>
      </c>
      <c r="BC40" s="143">
        <f t="shared" ref="BC40" si="372">BC41+BC42+BC43</f>
        <v>0</v>
      </c>
      <c r="BD40" s="79"/>
      <c r="BE40" s="79"/>
    </row>
    <row r="41" spans="1:57" s="66" customFormat="1" ht="31.5">
      <c r="A41" s="91" t="s">
        <v>431</v>
      </c>
      <c r="B41" s="99" t="s">
        <v>432</v>
      </c>
      <c r="C41" s="102" t="s">
        <v>433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f>'15'!G40</f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v>0</v>
      </c>
      <c r="AN41" s="143">
        <v>0</v>
      </c>
      <c r="AO41" s="143">
        <v>0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f>'10'!G40</f>
        <v>0.69300000000000006</v>
      </c>
      <c r="AY41" s="143">
        <v>0</v>
      </c>
      <c r="AZ41" s="143">
        <v>0</v>
      </c>
      <c r="BA41" s="143">
        <v>0</v>
      </c>
      <c r="BB41" s="143">
        <v>0</v>
      </c>
      <c r="BC41" s="143">
        <v>0</v>
      </c>
      <c r="BD41" s="79"/>
      <c r="BE41" s="79"/>
    </row>
    <row r="42" spans="1:57" s="66" customFormat="1" ht="31.5">
      <c r="A42" s="91" t="s">
        <v>444</v>
      </c>
      <c r="B42" s="99" t="s">
        <v>435</v>
      </c>
      <c r="C42" s="102" t="s">
        <v>436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f>'15'!G41</f>
        <v>0.1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143">
        <v>0</v>
      </c>
      <c r="AK42" s="143">
        <v>0</v>
      </c>
      <c r="AL42" s="143">
        <v>0</v>
      </c>
      <c r="AM42" s="143">
        <v>0</v>
      </c>
      <c r="AN42" s="143">
        <v>0</v>
      </c>
      <c r="AO42" s="143">
        <v>0</v>
      </c>
      <c r="AP42" s="143">
        <v>0</v>
      </c>
      <c r="AQ42" s="143">
        <v>0</v>
      </c>
      <c r="AR42" s="143">
        <v>0</v>
      </c>
      <c r="AS42" s="143">
        <v>0</v>
      </c>
      <c r="AT42" s="143">
        <v>0</v>
      </c>
      <c r="AU42" s="143">
        <v>0</v>
      </c>
      <c r="AV42" s="143">
        <v>0</v>
      </c>
      <c r="AW42" s="143">
        <v>0</v>
      </c>
      <c r="AX42" s="143">
        <f>'10'!G41</f>
        <v>0.12499999999999999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79"/>
      <c r="BE42" s="79"/>
    </row>
    <row r="43" spans="1:57" s="66" customFormat="1" ht="31.5">
      <c r="A43" s="91" t="s">
        <v>434</v>
      </c>
      <c r="B43" s="99" t="s">
        <v>438</v>
      </c>
      <c r="C43" s="102" t="s">
        <v>439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f>'15'!G42</f>
        <v>3.92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f>'10'!G42</f>
        <v>3.0180000000000002</v>
      </c>
      <c r="AY43" s="143">
        <v>0</v>
      </c>
      <c r="AZ43" s="143">
        <v>0</v>
      </c>
      <c r="BA43" s="143">
        <v>0</v>
      </c>
      <c r="BB43" s="143">
        <v>0</v>
      </c>
      <c r="BC43" s="143">
        <v>0</v>
      </c>
      <c r="BD43" s="79"/>
      <c r="BE43" s="79"/>
    </row>
    <row r="44" spans="1:57" s="66" customFormat="1" ht="28.5">
      <c r="A44" s="112"/>
      <c r="B44" s="90" t="s">
        <v>441</v>
      </c>
      <c r="C44" s="101"/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3">
        <v>0</v>
      </c>
      <c r="AH44" s="143">
        <v>0</v>
      </c>
      <c r="AI44" s="143">
        <v>0</v>
      </c>
      <c r="AJ44" s="143">
        <v>0</v>
      </c>
      <c r="AK44" s="143">
        <v>0</v>
      </c>
      <c r="AL44" s="143">
        <v>0</v>
      </c>
      <c r="AM44" s="143">
        <v>0</v>
      </c>
      <c r="AN44" s="143">
        <v>0</v>
      </c>
      <c r="AO44" s="143">
        <v>0</v>
      </c>
      <c r="AP44" s="143">
        <v>0</v>
      </c>
      <c r="AQ44" s="143">
        <v>0</v>
      </c>
      <c r="AR44" s="143">
        <v>0</v>
      </c>
      <c r="AS44" s="143">
        <v>0</v>
      </c>
      <c r="AT44" s="143">
        <v>0</v>
      </c>
      <c r="AU44" s="143">
        <v>0</v>
      </c>
      <c r="AV44" s="143">
        <v>0</v>
      </c>
      <c r="AW44" s="143">
        <v>0</v>
      </c>
      <c r="AX44" s="143">
        <v>0</v>
      </c>
      <c r="AY44" s="143">
        <v>0</v>
      </c>
      <c r="AZ44" s="143">
        <v>0</v>
      </c>
      <c r="BA44" s="143">
        <v>0</v>
      </c>
      <c r="BB44" s="143">
        <v>0</v>
      </c>
      <c r="BC44" s="143">
        <v>0</v>
      </c>
      <c r="BD44" s="79"/>
      <c r="BE44" s="79"/>
    </row>
  </sheetData>
  <mergeCells count="56">
    <mergeCell ref="AP14:AQ14"/>
    <mergeCell ref="AN14:AO14"/>
    <mergeCell ref="AD14:AE14"/>
    <mergeCell ref="AF14:AG14"/>
    <mergeCell ref="AH14:AI14"/>
    <mergeCell ref="A12:A16"/>
    <mergeCell ref="B12:B16"/>
    <mergeCell ref="C12:C16"/>
    <mergeCell ref="D12:BE12"/>
    <mergeCell ref="D13:S13"/>
    <mergeCell ref="AR14:AS14"/>
    <mergeCell ref="T13:AE13"/>
    <mergeCell ref="AF13:AK13"/>
    <mergeCell ref="AL13:AO13"/>
    <mergeCell ref="AP13:AU13"/>
    <mergeCell ref="AV13:AY13"/>
    <mergeCell ref="AJ14:AK14"/>
    <mergeCell ref="AL14:AM14"/>
    <mergeCell ref="N15:O15"/>
    <mergeCell ref="P15:Q15"/>
    <mergeCell ref="L14:M14"/>
    <mergeCell ref="A4:BE4"/>
    <mergeCell ref="AW1:BE1"/>
    <mergeCell ref="AW2:BE2"/>
    <mergeCell ref="AW3:BE3"/>
    <mergeCell ref="AT14:AU14"/>
    <mergeCell ref="AV14:AW14"/>
    <mergeCell ref="AX14:AY14"/>
    <mergeCell ref="AZ14:BA14"/>
    <mergeCell ref="BD14:BE14"/>
    <mergeCell ref="BB14:BC14"/>
    <mergeCell ref="A10:BE10"/>
    <mergeCell ref="AZ13:BE13"/>
    <mergeCell ref="D14:E14"/>
    <mergeCell ref="F14:G14"/>
    <mergeCell ref="R14:S14"/>
    <mergeCell ref="T14:U14"/>
    <mergeCell ref="A9:BE9"/>
    <mergeCell ref="A8:BE8"/>
    <mergeCell ref="A7:BE7"/>
    <mergeCell ref="A6:BE6"/>
    <mergeCell ref="A5:BE5"/>
    <mergeCell ref="N14:O14"/>
    <mergeCell ref="H14:K14"/>
    <mergeCell ref="H15:I15"/>
    <mergeCell ref="J15:K15"/>
    <mergeCell ref="D15:E15"/>
    <mergeCell ref="F15:G15"/>
    <mergeCell ref="L15:M15"/>
    <mergeCell ref="R15:S15"/>
    <mergeCell ref="AB14:AC14"/>
    <mergeCell ref="V14:Y14"/>
    <mergeCell ref="Z14:AA14"/>
    <mergeCell ref="P14:Q14"/>
    <mergeCell ref="V15:W15"/>
    <mergeCell ref="X15:Y1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7" sqref="A7:M7"/>
    </sheetView>
  </sheetViews>
  <sheetFormatPr defaultRowHeight="15"/>
  <cols>
    <col min="1" max="1" width="14.5703125" customWidth="1"/>
    <col min="2" max="2" width="57.85546875" customWidth="1"/>
    <col min="3" max="3" width="17" customWidth="1"/>
    <col min="4" max="4" width="21.85546875" customWidth="1"/>
    <col min="5" max="5" width="22.42578125" customWidth="1"/>
    <col min="6" max="6" width="12.5703125" customWidth="1"/>
    <col min="7" max="7" width="11.85546875" customWidth="1"/>
    <col min="8" max="8" width="12.28515625" customWidth="1"/>
    <col min="9" max="9" width="12.5703125" customWidth="1"/>
    <col min="10" max="10" width="12.85546875" customWidth="1"/>
    <col min="11" max="11" width="12.28515625" customWidth="1"/>
    <col min="12" max="12" width="11.5703125" customWidth="1"/>
    <col min="13" max="13" width="12.85546875" customWidth="1"/>
  </cols>
  <sheetData>
    <row r="1" spans="1:13" ht="19.5" customHeight="1">
      <c r="J1" s="362" t="s">
        <v>258</v>
      </c>
      <c r="K1" s="362"/>
      <c r="L1" s="362"/>
      <c r="M1" s="362"/>
    </row>
    <row r="2" spans="1:13" ht="18" customHeight="1">
      <c r="J2" s="362" t="s">
        <v>19</v>
      </c>
      <c r="K2" s="362"/>
      <c r="L2" s="362"/>
      <c r="M2" s="362"/>
    </row>
    <row r="3" spans="1:13" ht="18.75" customHeight="1">
      <c r="J3" s="362" t="s">
        <v>20</v>
      </c>
      <c r="K3" s="362"/>
      <c r="L3" s="362"/>
      <c r="M3" s="362"/>
    </row>
    <row r="4" spans="1:13" ht="20.25" customHeight="1">
      <c r="A4" s="347" t="s">
        <v>259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16.5" customHeight="1">
      <c r="A5" s="347" t="s">
        <v>260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ht="22.5" customHeight="1">
      <c r="A6" s="347" t="s">
        <v>261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ht="15" customHeight="1">
      <c r="A7" s="347" t="s">
        <v>1112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</row>
    <row r="8" spans="1:13" ht="18" customHeight="1">
      <c r="A8" s="347" t="s">
        <v>306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spans="1:13" ht="18" customHeight="1">
      <c r="A9" s="348" t="s">
        <v>262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</row>
    <row r="10" spans="1:13" ht="18.75" customHeight="1">
      <c r="A10" s="347" t="s">
        <v>1107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</row>
    <row r="11" spans="1:13" ht="21" customHeight="1">
      <c r="A11" s="347" t="s">
        <v>1113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</row>
    <row r="12" spans="1:13" ht="17.25" customHeight="1">
      <c r="A12" s="348" t="s">
        <v>263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3" s="17" customFormat="1">
      <c r="A13" s="402" t="s">
        <v>264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</row>
    <row r="14" spans="1:13" s="17" customFormat="1" ht="1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5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69.75" customHeight="1">
      <c r="A16" s="377" t="s">
        <v>0</v>
      </c>
      <c r="B16" s="377" t="s">
        <v>1</v>
      </c>
      <c r="C16" s="377" t="s">
        <v>2</v>
      </c>
      <c r="D16" s="377" t="s">
        <v>98</v>
      </c>
      <c r="E16" s="377" t="s">
        <v>99</v>
      </c>
      <c r="F16" s="377" t="s">
        <v>100</v>
      </c>
      <c r="G16" s="377"/>
      <c r="H16" s="377" t="s">
        <v>101</v>
      </c>
      <c r="I16" s="377"/>
      <c r="J16" s="377" t="s">
        <v>102</v>
      </c>
      <c r="K16" s="377"/>
      <c r="L16" s="377" t="s">
        <v>103</v>
      </c>
      <c r="M16" s="377"/>
    </row>
    <row r="17" spans="1:13" ht="66.75" customHeight="1">
      <c r="A17" s="377"/>
      <c r="B17" s="377"/>
      <c r="C17" s="377"/>
      <c r="D17" s="377"/>
      <c r="E17" s="377"/>
      <c r="F17" s="50" t="s">
        <v>1129</v>
      </c>
      <c r="G17" s="50" t="s">
        <v>265</v>
      </c>
      <c r="H17" s="50" t="s">
        <v>1130</v>
      </c>
      <c r="I17" s="50" t="s">
        <v>265</v>
      </c>
      <c r="J17" s="50" t="s">
        <v>1131</v>
      </c>
      <c r="K17" s="50" t="s">
        <v>265</v>
      </c>
      <c r="L17" s="113" t="s">
        <v>1132</v>
      </c>
      <c r="M17" s="113" t="s">
        <v>265</v>
      </c>
    </row>
    <row r="18" spans="1:13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113">
        <v>12</v>
      </c>
      <c r="M18" s="113">
        <v>13</v>
      </c>
    </row>
    <row r="19" spans="1:13" ht="15.75">
      <c r="A19" s="83" t="s">
        <v>384</v>
      </c>
      <c r="B19" s="84" t="s">
        <v>31</v>
      </c>
      <c r="C19" s="100" t="s">
        <v>385</v>
      </c>
      <c r="D19" s="101" t="s">
        <v>385</v>
      </c>
      <c r="E19" s="101" t="s">
        <v>385</v>
      </c>
      <c r="F19" s="101" t="s">
        <v>385</v>
      </c>
      <c r="G19" s="101" t="s">
        <v>385</v>
      </c>
      <c r="H19" s="101" t="s">
        <v>385</v>
      </c>
      <c r="I19" s="101" t="s">
        <v>385</v>
      </c>
      <c r="J19" s="101" t="s">
        <v>385</v>
      </c>
      <c r="K19" s="101" t="s">
        <v>385</v>
      </c>
      <c r="L19" s="101" t="s">
        <v>385</v>
      </c>
      <c r="M19" s="146" t="s">
        <v>385</v>
      </c>
    </row>
    <row r="20" spans="1:13" ht="15.75">
      <c r="A20" s="85" t="s">
        <v>386</v>
      </c>
      <c r="B20" s="86" t="s">
        <v>387</v>
      </c>
      <c r="C20" s="101" t="s">
        <v>385</v>
      </c>
      <c r="D20" s="101" t="s">
        <v>385</v>
      </c>
      <c r="E20" s="101" t="s">
        <v>385</v>
      </c>
      <c r="F20" s="101" t="s">
        <v>385</v>
      </c>
      <c r="G20" s="101" t="s">
        <v>385</v>
      </c>
      <c r="H20" s="101" t="s">
        <v>385</v>
      </c>
      <c r="I20" s="101" t="s">
        <v>385</v>
      </c>
      <c r="J20" s="101" t="s">
        <v>385</v>
      </c>
      <c r="K20" s="101" t="s">
        <v>385</v>
      </c>
      <c r="L20" s="101" t="s">
        <v>385</v>
      </c>
      <c r="M20" s="146" t="s">
        <v>385</v>
      </c>
    </row>
    <row r="21" spans="1:13" ht="30">
      <c r="A21" s="87" t="s">
        <v>388</v>
      </c>
      <c r="B21" s="88" t="s">
        <v>389</v>
      </c>
      <c r="C21" s="101" t="s">
        <v>385</v>
      </c>
      <c r="D21" s="101" t="s">
        <v>385</v>
      </c>
      <c r="E21" s="101" t="s">
        <v>385</v>
      </c>
      <c r="F21" s="101" t="s">
        <v>385</v>
      </c>
      <c r="G21" s="101" t="s">
        <v>385</v>
      </c>
      <c r="H21" s="101" t="s">
        <v>385</v>
      </c>
      <c r="I21" s="101" t="s">
        <v>385</v>
      </c>
      <c r="J21" s="101" t="s">
        <v>385</v>
      </c>
      <c r="K21" s="101" t="s">
        <v>385</v>
      </c>
      <c r="L21" s="101" t="s">
        <v>385</v>
      </c>
      <c r="M21" s="146" t="s">
        <v>385</v>
      </c>
    </row>
    <row r="22" spans="1:13" ht="45">
      <c r="A22" s="87" t="s">
        <v>390</v>
      </c>
      <c r="B22" s="88" t="s">
        <v>391</v>
      </c>
      <c r="C22" s="101" t="s">
        <v>385</v>
      </c>
      <c r="D22" s="101" t="s">
        <v>385</v>
      </c>
      <c r="E22" s="101" t="s">
        <v>385</v>
      </c>
      <c r="F22" s="101" t="s">
        <v>385</v>
      </c>
      <c r="G22" s="101" t="s">
        <v>385</v>
      </c>
      <c r="H22" s="101" t="s">
        <v>385</v>
      </c>
      <c r="I22" s="101" t="s">
        <v>385</v>
      </c>
      <c r="J22" s="101" t="s">
        <v>385</v>
      </c>
      <c r="K22" s="101" t="s">
        <v>385</v>
      </c>
      <c r="L22" s="101" t="s">
        <v>385</v>
      </c>
      <c r="M22" s="146" t="s">
        <v>385</v>
      </c>
    </row>
    <row r="23" spans="1:13" ht="30">
      <c r="A23" s="87" t="s">
        <v>392</v>
      </c>
      <c r="B23" s="86" t="s">
        <v>393</v>
      </c>
      <c r="C23" s="101" t="s">
        <v>385</v>
      </c>
      <c r="D23" s="101" t="s">
        <v>385</v>
      </c>
      <c r="E23" s="101" t="s">
        <v>385</v>
      </c>
      <c r="F23" s="101" t="s">
        <v>385</v>
      </c>
      <c r="G23" s="101" t="s">
        <v>385</v>
      </c>
      <c r="H23" s="101" t="s">
        <v>385</v>
      </c>
      <c r="I23" s="101" t="s">
        <v>385</v>
      </c>
      <c r="J23" s="101" t="s">
        <v>385</v>
      </c>
      <c r="K23" s="101" t="s">
        <v>385</v>
      </c>
      <c r="L23" s="101" t="s">
        <v>385</v>
      </c>
      <c r="M23" s="146" t="s">
        <v>385</v>
      </c>
    </row>
    <row r="24" spans="1:13" ht="30">
      <c r="A24" s="87" t="s">
        <v>394</v>
      </c>
      <c r="B24" s="86" t="s">
        <v>395</v>
      </c>
      <c r="C24" s="101" t="s">
        <v>385</v>
      </c>
      <c r="D24" s="101" t="s">
        <v>385</v>
      </c>
      <c r="E24" s="101" t="s">
        <v>385</v>
      </c>
      <c r="F24" s="101" t="s">
        <v>385</v>
      </c>
      <c r="G24" s="101" t="s">
        <v>385</v>
      </c>
      <c r="H24" s="101" t="s">
        <v>385</v>
      </c>
      <c r="I24" s="101" t="s">
        <v>385</v>
      </c>
      <c r="J24" s="101" t="s">
        <v>385</v>
      </c>
      <c r="K24" s="101" t="s">
        <v>385</v>
      </c>
      <c r="L24" s="101" t="s">
        <v>385</v>
      </c>
      <c r="M24" s="146" t="s">
        <v>385</v>
      </c>
    </row>
    <row r="25" spans="1:13" ht="15.75">
      <c r="A25" s="87" t="s">
        <v>396</v>
      </c>
      <c r="B25" s="86" t="s">
        <v>397</v>
      </c>
      <c r="C25" s="101" t="s">
        <v>385</v>
      </c>
      <c r="D25" s="101" t="s">
        <v>385</v>
      </c>
      <c r="E25" s="101" t="s">
        <v>385</v>
      </c>
      <c r="F25" s="101" t="s">
        <v>385</v>
      </c>
      <c r="G25" s="101" t="s">
        <v>385</v>
      </c>
      <c r="H25" s="101" t="s">
        <v>385</v>
      </c>
      <c r="I25" s="101" t="s">
        <v>385</v>
      </c>
      <c r="J25" s="101" t="s">
        <v>385</v>
      </c>
      <c r="K25" s="101" t="s">
        <v>385</v>
      </c>
      <c r="L25" s="101" t="s">
        <v>385</v>
      </c>
      <c r="M25" s="146" t="s">
        <v>385</v>
      </c>
    </row>
    <row r="26" spans="1:13" ht="15.75">
      <c r="A26" s="89" t="s">
        <v>398</v>
      </c>
      <c r="B26" s="90" t="s">
        <v>399</v>
      </c>
      <c r="C26" s="101" t="s">
        <v>385</v>
      </c>
      <c r="D26" s="101" t="s">
        <v>385</v>
      </c>
      <c r="E26" s="101" t="s">
        <v>385</v>
      </c>
      <c r="F26" s="101" t="s">
        <v>385</v>
      </c>
      <c r="G26" s="101" t="s">
        <v>385</v>
      </c>
      <c r="H26" s="101" t="s">
        <v>385</v>
      </c>
      <c r="I26" s="101" t="s">
        <v>385</v>
      </c>
      <c r="J26" s="101" t="s">
        <v>385</v>
      </c>
      <c r="K26" s="101" t="s">
        <v>385</v>
      </c>
      <c r="L26" s="101" t="s">
        <v>385</v>
      </c>
      <c r="M26" s="146" t="s">
        <v>385</v>
      </c>
    </row>
    <row r="27" spans="1:13" ht="28.5">
      <c r="A27" s="89" t="s">
        <v>400</v>
      </c>
      <c r="B27" s="90" t="s">
        <v>401</v>
      </c>
      <c r="C27" s="101" t="s">
        <v>385</v>
      </c>
      <c r="D27" s="101" t="s">
        <v>385</v>
      </c>
      <c r="E27" s="101" t="s">
        <v>385</v>
      </c>
      <c r="F27" s="101" t="s">
        <v>385</v>
      </c>
      <c r="G27" s="101" t="s">
        <v>385</v>
      </c>
      <c r="H27" s="101" t="s">
        <v>385</v>
      </c>
      <c r="I27" s="101" t="s">
        <v>385</v>
      </c>
      <c r="J27" s="101" t="s">
        <v>385</v>
      </c>
      <c r="K27" s="101" t="s">
        <v>385</v>
      </c>
      <c r="L27" s="101" t="s">
        <v>385</v>
      </c>
      <c r="M27" s="146" t="s">
        <v>385</v>
      </c>
    </row>
    <row r="28" spans="1:13" ht="45">
      <c r="A28" s="89" t="s">
        <v>402</v>
      </c>
      <c r="B28" s="86" t="s">
        <v>403</v>
      </c>
      <c r="C28" s="101" t="s">
        <v>385</v>
      </c>
      <c r="D28" s="101" t="s">
        <v>385</v>
      </c>
      <c r="E28" s="101" t="s">
        <v>385</v>
      </c>
      <c r="F28" s="101" t="s">
        <v>385</v>
      </c>
      <c r="G28" s="101" t="s">
        <v>385</v>
      </c>
      <c r="H28" s="101" t="s">
        <v>385</v>
      </c>
      <c r="I28" s="101" t="s">
        <v>385</v>
      </c>
      <c r="J28" s="101" t="s">
        <v>385</v>
      </c>
      <c r="K28" s="101" t="s">
        <v>385</v>
      </c>
      <c r="L28" s="101" t="s">
        <v>385</v>
      </c>
      <c r="M28" s="146" t="s">
        <v>385</v>
      </c>
    </row>
    <row r="29" spans="1:13" ht="30">
      <c r="A29" s="87" t="s">
        <v>404</v>
      </c>
      <c r="B29" s="86" t="s">
        <v>405</v>
      </c>
      <c r="C29" s="101" t="s">
        <v>385</v>
      </c>
      <c r="D29" s="101" t="s">
        <v>385</v>
      </c>
      <c r="E29" s="101" t="s">
        <v>385</v>
      </c>
      <c r="F29" s="101" t="s">
        <v>385</v>
      </c>
      <c r="G29" s="101" t="s">
        <v>385</v>
      </c>
      <c r="H29" s="101" t="s">
        <v>385</v>
      </c>
      <c r="I29" s="101" t="s">
        <v>385</v>
      </c>
      <c r="J29" s="101" t="s">
        <v>385</v>
      </c>
      <c r="K29" s="101" t="s">
        <v>385</v>
      </c>
      <c r="L29" s="101" t="s">
        <v>385</v>
      </c>
      <c r="M29" s="146" t="s">
        <v>385</v>
      </c>
    </row>
    <row r="30" spans="1:13" ht="30">
      <c r="A30" s="89" t="s">
        <v>406</v>
      </c>
      <c r="B30" s="86" t="s">
        <v>407</v>
      </c>
      <c r="C30" s="101" t="s">
        <v>385</v>
      </c>
      <c r="D30" s="101" t="s">
        <v>385</v>
      </c>
      <c r="E30" s="101" t="s">
        <v>385</v>
      </c>
      <c r="F30" s="101" t="s">
        <v>385</v>
      </c>
      <c r="G30" s="101" t="s">
        <v>385</v>
      </c>
      <c r="H30" s="101" t="s">
        <v>385</v>
      </c>
      <c r="I30" s="101" t="s">
        <v>385</v>
      </c>
      <c r="J30" s="101" t="s">
        <v>385</v>
      </c>
      <c r="K30" s="101" t="s">
        <v>385</v>
      </c>
      <c r="L30" s="101" t="s">
        <v>385</v>
      </c>
      <c r="M30" s="146" t="s">
        <v>385</v>
      </c>
    </row>
    <row r="31" spans="1:13" ht="15.75">
      <c r="A31" s="87" t="s">
        <v>408</v>
      </c>
      <c r="B31" s="86" t="s">
        <v>409</v>
      </c>
      <c r="C31" s="101" t="s">
        <v>385</v>
      </c>
      <c r="D31" s="101" t="s">
        <v>385</v>
      </c>
      <c r="E31" s="101" t="s">
        <v>385</v>
      </c>
      <c r="F31" s="101" t="s">
        <v>385</v>
      </c>
      <c r="G31" s="101" t="s">
        <v>385</v>
      </c>
      <c r="H31" s="101" t="s">
        <v>385</v>
      </c>
      <c r="I31" s="101" t="s">
        <v>385</v>
      </c>
      <c r="J31" s="101" t="s">
        <v>385</v>
      </c>
      <c r="K31" s="101" t="s">
        <v>385</v>
      </c>
      <c r="L31" s="101" t="s">
        <v>385</v>
      </c>
      <c r="M31" s="146" t="s">
        <v>385</v>
      </c>
    </row>
    <row r="32" spans="1:13" ht="45">
      <c r="A32" s="91" t="s">
        <v>410</v>
      </c>
      <c r="B32" s="92" t="s">
        <v>411</v>
      </c>
      <c r="C32" s="102" t="s">
        <v>412</v>
      </c>
      <c r="D32" s="101" t="s">
        <v>385</v>
      </c>
      <c r="E32" s="101" t="s">
        <v>385</v>
      </c>
      <c r="F32" s="101" t="s">
        <v>385</v>
      </c>
      <c r="G32" s="101" t="s">
        <v>385</v>
      </c>
      <c r="H32" s="101" t="s">
        <v>385</v>
      </c>
      <c r="I32" s="101" t="s">
        <v>385</v>
      </c>
      <c r="J32" s="101" t="s">
        <v>385</v>
      </c>
      <c r="K32" s="101" t="s">
        <v>385</v>
      </c>
      <c r="L32" s="101" t="s">
        <v>385</v>
      </c>
      <c r="M32" s="146" t="s">
        <v>385</v>
      </c>
    </row>
    <row r="33" spans="1:13" ht="60">
      <c r="A33" s="121" t="s">
        <v>442</v>
      </c>
      <c r="B33" s="122" t="s">
        <v>414</v>
      </c>
      <c r="C33" s="123" t="s">
        <v>308</v>
      </c>
      <c r="D33" s="101" t="s">
        <v>385</v>
      </c>
      <c r="E33" s="101" t="s">
        <v>385</v>
      </c>
      <c r="F33" s="101" t="s">
        <v>385</v>
      </c>
      <c r="G33" s="101" t="s">
        <v>385</v>
      </c>
      <c r="H33" s="101" t="s">
        <v>385</v>
      </c>
      <c r="I33" s="101" t="s">
        <v>385</v>
      </c>
      <c r="J33" s="101" t="s">
        <v>385</v>
      </c>
      <c r="K33" s="101" t="s">
        <v>385</v>
      </c>
      <c r="L33" s="101" t="s">
        <v>385</v>
      </c>
      <c r="M33" s="146" t="s">
        <v>385</v>
      </c>
    </row>
    <row r="34" spans="1:13" ht="45">
      <c r="A34" s="91" t="s">
        <v>443</v>
      </c>
      <c r="B34" s="92" t="s">
        <v>416</v>
      </c>
      <c r="C34" s="102" t="s">
        <v>417</v>
      </c>
      <c r="D34" s="101" t="s">
        <v>385</v>
      </c>
      <c r="E34" s="101" t="s">
        <v>385</v>
      </c>
      <c r="F34" s="101" t="s">
        <v>385</v>
      </c>
      <c r="G34" s="101" t="s">
        <v>385</v>
      </c>
      <c r="H34" s="101" t="s">
        <v>385</v>
      </c>
      <c r="I34" s="101" t="s">
        <v>385</v>
      </c>
      <c r="J34" s="101" t="s">
        <v>385</v>
      </c>
      <c r="K34" s="101" t="s">
        <v>385</v>
      </c>
      <c r="L34" s="101" t="s">
        <v>385</v>
      </c>
      <c r="M34" s="146" t="s">
        <v>385</v>
      </c>
    </row>
    <row r="35" spans="1:13" ht="31.5">
      <c r="A35" s="114" t="s">
        <v>418</v>
      </c>
      <c r="B35" s="105" t="s">
        <v>419</v>
      </c>
      <c r="C35" s="103" t="s">
        <v>385</v>
      </c>
      <c r="D35" s="101" t="s">
        <v>385</v>
      </c>
      <c r="E35" s="101" t="s">
        <v>385</v>
      </c>
      <c r="F35" s="101" t="s">
        <v>385</v>
      </c>
      <c r="G35" s="101" t="s">
        <v>385</v>
      </c>
      <c r="H35" s="101" t="s">
        <v>385</v>
      </c>
      <c r="I35" s="101" t="s">
        <v>385</v>
      </c>
      <c r="J35" s="101" t="s">
        <v>385</v>
      </c>
      <c r="K35" s="101" t="s">
        <v>385</v>
      </c>
      <c r="L35" s="101" t="s">
        <v>385</v>
      </c>
      <c r="M35" s="146" t="s">
        <v>385</v>
      </c>
    </row>
    <row r="36" spans="1:13" ht="47.25">
      <c r="A36" s="93" t="s">
        <v>420</v>
      </c>
      <c r="B36" s="94" t="s">
        <v>421</v>
      </c>
      <c r="C36" s="103" t="s">
        <v>422</v>
      </c>
      <c r="D36" s="101" t="s">
        <v>385</v>
      </c>
      <c r="E36" s="101" t="s">
        <v>385</v>
      </c>
      <c r="F36" s="101" t="s">
        <v>385</v>
      </c>
      <c r="G36" s="101" t="s">
        <v>385</v>
      </c>
      <c r="H36" s="101" t="s">
        <v>385</v>
      </c>
      <c r="I36" s="101" t="s">
        <v>385</v>
      </c>
      <c r="J36" s="101" t="s">
        <v>385</v>
      </c>
      <c r="K36" s="101" t="s">
        <v>385</v>
      </c>
      <c r="L36" s="101" t="s">
        <v>385</v>
      </c>
      <c r="M36" s="146" t="s">
        <v>385</v>
      </c>
    </row>
    <row r="37" spans="1:13" ht="28.5">
      <c r="A37" s="89" t="s">
        <v>423</v>
      </c>
      <c r="B37" s="95" t="s">
        <v>424</v>
      </c>
      <c r="C37" s="104" t="s">
        <v>385</v>
      </c>
      <c r="D37" s="101" t="s">
        <v>385</v>
      </c>
      <c r="E37" s="101" t="s">
        <v>385</v>
      </c>
      <c r="F37" s="101" t="s">
        <v>385</v>
      </c>
      <c r="G37" s="101" t="s">
        <v>385</v>
      </c>
      <c r="H37" s="101" t="s">
        <v>385</v>
      </c>
      <c r="I37" s="101" t="s">
        <v>385</v>
      </c>
      <c r="J37" s="101" t="s">
        <v>385</v>
      </c>
      <c r="K37" s="101" t="s">
        <v>385</v>
      </c>
      <c r="L37" s="101" t="s">
        <v>385</v>
      </c>
      <c r="M37" s="146" t="s">
        <v>385</v>
      </c>
    </row>
    <row r="38" spans="1:13" ht="30">
      <c r="A38" s="96" t="s">
        <v>425</v>
      </c>
      <c r="B38" s="97" t="s">
        <v>426</v>
      </c>
      <c r="C38" s="104" t="s">
        <v>385</v>
      </c>
      <c r="D38" s="101" t="s">
        <v>385</v>
      </c>
      <c r="E38" s="101" t="s">
        <v>385</v>
      </c>
      <c r="F38" s="101" t="s">
        <v>385</v>
      </c>
      <c r="G38" s="101" t="s">
        <v>385</v>
      </c>
      <c r="H38" s="101" t="s">
        <v>385</v>
      </c>
      <c r="I38" s="101" t="s">
        <v>385</v>
      </c>
      <c r="J38" s="101" t="s">
        <v>385</v>
      </c>
      <c r="K38" s="101" t="s">
        <v>385</v>
      </c>
      <c r="L38" s="101" t="s">
        <v>385</v>
      </c>
      <c r="M38" s="146" t="s">
        <v>385</v>
      </c>
    </row>
    <row r="39" spans="1:13" ht="30">
      <c r="A39" s="128" t="s">
        <v>427</v>
      </c>
      <c r="B39" s="129" t="s">
        <v>428</v>
      </c>
      <c r="C39" s="130" t="s">
        <v>273</v>
      </c>
      <c r="D39" s="101" t="s">
        <v>385</v>
      </c>
      <c r="E39" s="101" t="s">
        <v>385</v>
      </c>
      <c r="F39" s="101" t="s">
        <v>385</v>
      </c>
      <c r="G39" s="101" t="s">
        <v>385</v>
      </c>
      <c r="H39" s="101" t="s">
        <v>385</v>
      </c>
      <c r="I39" s="101" t="s">
        <v>385</v>
      </c>
      <c r="J39" s="101" t="s">
        <v>385</v>
      </c>
      <c r="K39" s="101" t="s">
        <v>385</v>
      </c>
      <c r="L39" s="101" t="s">
        <v>385</v>
      </c>
      <c r="M39" s="146" t="s">
        <v>385</v>
      </c>
    </row>
    <row r="40" spans="1:13" ht="27.75" customHeight="1">
      <c r="A40" s="128" t="s">
        <v>1063</v>
      </c>
      <c r="B40" s="129" t="s">
        <v>428</v>
      </c>
      <c r="C40" s="130" t="s">
        <v>1116</v>
      </c>
      <c r="D40" s="101" t="s">
        <v>385</v>
      </c>
      <c r="E40" s="101" t="s">
        <v>385</v>
      </c>
      <c r="F40" s="101" t="s">
        <v>385</v>
      </c>
      <c r="G40" s="101" t="s">
        <v>385</v>
      </c>
      <c r="H40" s="101" t="s">
        <v>385</v>
      </c>
      <c r="I40" s="101" t="s">
        <v>385</v>
      </c>
      <c r="J40" s="101" t="s">
        <v>385</v>
      </c>
      <c r="K40" s="101" t="s">
        <v>385</v>
      </c>
      <c r="L40" s="101" t="s">
        <v>385</v>
      </c>
      <c r="M40" s="146" t="s">
        <v>385</v>
      </c>
    </row>
    <row r="41" spans="1:13" ht="28.5">
      <c r="A41" s="89" t="s">
        <v>429</v>
      </c>
      <c r="B41" s="90" t="s">
        <v>430</v>
      </c>
      <c r="C41" s="101"/>
      <c r="D41" s="101" t="s">
        <v>385</v>
      </c>
      <c r="E41" s="101" t="s">
        <v>385</v>
      </c>
      <c r="F41" s="101" t="s">
        <v>385</v>
      </c>
      <c r="G41" s="101" t="s">
        <v>385</v>
      </c>
      <c r="H41" s="101" t="s">
        <v>385</v>
      </c>
      <c r="I41" s="101" t="s">
        <v>385</v>
      </c>
      <c r="J41" s="101" t="s">
        <v>385</v>
      </c>
      <c r="K41" s="101" t="s">
        <v>385</v>
      </c>
      <c r="L41" s="101" t="s">
        <v>385</v>
      </c>
      <c r="M41" s="146" t="s">
        <v>385</v>
      </c>
    </row>
    <row r="42" spans="1:13" ht="30">
      <c r="A42" s="91" t="s">
        <v>431</v>
      </c>
      <c r="B42" s="99" t="s">
        <v>432</v>
      </c>
      <c r="C42" s="102" t="s">
        <v>433</v>
      </c>
      <c r="D42" s="101" t="s">
        <v>385</v>
      </c>
      <c r="E42" s="101" t="s">
        <v>385</v>
      </c>
      <c r="F42" s="101" t="s">
        <v>385</v>
      </c>
      <c r="G42" s="101" t="s">
        <v>385</v>
      </c>
      <c r="H42" s="101" t="s">
        <v>385</v>
      </c>
      <c r="I42" s="101" t="s">
        <v>385</v>
      </c>
      <c r="J42" s="101" t="s">
        <v>385</v>
      </c>
      <c r="K42" s="101" t="s">
        <v>385</v>
      </c>
      <c r="L42" s="101" t="s">
        <v>385</v>
      </c>
      <c r="M42" s="146" t="s">
        <v>385</v>
      </c>
    </row>
    <row r="43" spans="1:13" ht="30">
      <c r="A43" s="91" t="s">
        <v>444</v>
      </c>
      <c r="B43" s="99" t="s">
        <v>435</v>
      </c>
      <c r="C43" s="102" t="s">
        <v>436</v>
      </c>
      <c r="D43" s="101" t="s">
        <v>385</v>
      </c>
      <c r="E43" s="101" t="s">
        <v>385</v>
      </c>
      <c r="F43" s="101" t="s">
        <v>385</v>
      </c>
      <c r="G43" s="101" t="s">
        <v>385</v>
      </c>
      <c r="H43" s="101" t="s">
        <v>385</v>
      </c>
      <c r="I43" s="101" t="s">
        <v>385</v>
      </c>
      <c r="J43" s="101" t="s">
        <v>385</v>
      </c>
      <c r="K43" s="101" t="s">
        <v>385</v>
      </c>
      <c r="L43" s="101" t="s">
        <v>385</v>
      </c>
      <c r="M43" s="146" t="s">
        <v>385</v>
      </c>
    </row>
    <row r="44" spans="1:13" ht="30">
      <c r="A44" s="91" t="s">
        <v>434</v>
      </c>
      <c r="B44" s="99" t="s">
        <v>438</v>
      </c>
      <c r="C44" s="102" t="s">
        <v>439</v>
      </c>
      <c r="D44" s="101" t="s">
        <v>385</v>
      </c>
      <c r="E44" s="101" t="s">
        <v>385</v>
      </c>
      <c r="F44" s="101" t="s">
        <v>385</v>
      </c>
      <c r="G44" s="101" t="s">
        <v>385</v>
      </c>
      <c r="H44" s="101" t="s">
        <v>385</v>
      </c>
      <c r="I44" s="101" t="s">
        <v>385</v>
      </c>
      <c r="J44" s="101" t="s">
        <v>385</v>
      </c>
      <c r="K44" s="101" t="s">
        <v>385</v>
      </c>
      <c r="L44" s="101" t="s">
        <v>385</v>
      </c>
      <c r="M44" s="146" t="s">
        <v>385</v>
      </c>
    </row>
    <row r="45" spans="1:13" ht="15.75">
      <c r="A45" s="112"/>
      <c r="B45" s="90" t="s">
        <v>441</v>
      </c>
      <c r="C45" s="101"/>
      <c r="D45" s="101" t="s">
        <v>385</v>
      </c>
      <c r="E45" s="101" t="s">
        <v>385</v>
      </c>
      <c r="F45" s="101" t="s">
        <v>385</v>
      </c>
      <c r="G45" s="101" t="s">
        <v>385</v>
      </c>
      <c r="H45" s="101" t="s">
        <v>385</v>
      </c>
      <c r="I45" s="101" t="s">
        <v>385</v>
      </c>
      <c r="J45" s="101" t="s">
        <v>385</v>
      </c>
      <c r="K45" s="101" t="s">
        <v>385</v>
      </c>
      <c r="L45" s="101" t="s">
        <v>385</v>
      </c>
      <c r="M45" s="146" t="s">
        <v>385</v>
      </c>
    </row>
    <row r="46" spans="1:13" ht="25.5" customHeight="1">
      <c r="A46" s="373" t="s">
        <v>31</v>
      </c>
      <c r="B46" s="374"/>
      <c r="C46" s="375"/>
      <c r="D46" s="70" t="s">
        <v>284</v>
      </c>
      <c r="E46" s="70" t="s">
        <v>284</v>
      </c>
      <c r="F46" s="70" t="s">
        <v>284</v>
      </c>
      <c r="G46" s="70" t="s">
        <v>284</v>
      </c>
      <c r="H46" s="70" t="s">
        <v>284</v>
      </c>
      <c r="I46" s="70" t="s">
        <v>284</v>
      </c>
      <c r="J46" s="70" t="s">
        <v>284</v>
      </c>
      <c r="K46" s="70" t="s">
        <v>284</v>
      </c>
      <c r="L46" s="70" t="s">
        <v>284</v>
      </c>
      <c r="M46" s="70" t="s">
        <v>284</v>
      </c>
    </row>
    <row r="47" spans="1:13" ht="33.75" customHeight="1">
      <c r="A47" s="362" t="s">
        <v>32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</row>
    <row r="48" spans="1:13">
      <c r="A48" s="2"/>
    </row>
    <row r="49" spans="1:1">
      <c r="A49" s="2"/>
    </row>
    <row r="50" spans="1:1" ht="26.25" customHeight="1"/>
  </sheetData>
  <mergeCells count="24">
    <mergeCell ref="A47:M47"/>
    <mergeCell ref="A11:M11"/>
    <mergeCell ref="A16:A17"/>
    <mergeCell ref="B16:B17"/>
    <mergeCell ref="C16:C17"/>
    <mergeCell ref="D16:D17"/>
    <mergeCell ref="E16:E17"/>
    <mergeCell ref="F16:G16"/>
    <mergeCell ref="H16:I16"/>
    <mergeCell ref="J16:K16"/>
    <mergeCell ref="L16:M16"/>
    <mergeCell ref="A13:M13"/>
    <mergeCell ref="A12:M12"/>
    <mergeCell ref="A46:C46"/>
    <mergeCell ref="J1:M1"/>
    <mergeCell ref="J2:M2"/>
    <mergeCell ref="J3:M3"/>
    <mergeCell ref="A4:M4"/>
    <mergeCell ref="A10:M10"/>
    <mergeCell ref="A8:M8"/>
    <mergeCell ref="A9:M9"/>
    <mergeCell ref="A7:M7"/>
    <mergeCell ref="A6:M6"/>
    <mergeCell ref="A5:M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0"/>
  <sheetViews>
    <sheetView topLeftCell="A28" zoomScale="80" zoomScaleNormal="80" workbookViewId="0">
      <selection activeCell="J428" sqref="J428"/>
    </sheetView>
  </sheetViews>
  <sheetFormatPr defaultRowHeight="15.75"/>
  <cols>
    <col min="1" max="1" width="9.7109375" style="147" customWidth="1"/>
    <col min="2" max="2" width="84.5703125" style="148" customWidth="1"/>
    <col min="3" max="3" width="11.7109375" style="149" customWidth="1"/>
    <col min="4" max="4" width="11.42578125" style="150" hidden="1" customWidth="1"/>
    <col min="5" max="5" width="11.140625" style="151" hidden="1" customWidth="1"/>
    <col min="6" max="6" width="14.5703125" style="151" customWidth="1"/>
    <col min="7" max="7" width="12.5703125" style="151" hidden="1" customWidth="1"/>
    <col min="8" max="9" width="11.28515625" style="151" hidden="1" customWidth="1"/>
    <col min="10" max="10" width="14.7109375" style="151" customWidth="1"/>
    <col min="11" max="11" width="9.7109375" style="151" hidden="1" customWidth="1"/>
    <col min="12" max="12" width="11" style="151" hidden="1" customWidth="1"/>
    <col min="13" max="13" width="13.28515625" style="151" customWidth="1"/>
    <col min="14" max="14" width="12.85546875" style="151" customWidth="1"/>
    <col min="15" max="15" width="26.140625" style="151" customWidth="1"/>
    <col min="16" max="16384" width="9.140625" style="151"/>
  </cols>
  <sheetData>
    <row r="1" spans="1:15">
      <c r="O1" s="152" t="s">
        <v>447</v>
      </c>
    </row>
    <row r="2" spans="1:15">
      <c r="O2" s="152" t="s">
        <v>19</v>
      </c>
    </row>
    <row r="3" spans="1:15">
      <c r="O3" s="152" t="s">
        <v>448</v>
      </c>
    </row>
    <row r="6" spans="1:15">
      <c r="A6" s="455" t="s">
        <v>449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</row>
    <row r="7" spans="1:15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</row>
    <row r="8" spans="1:15" ht="22.5">
      <c r="A8" s="456" t="s">
        <v>450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</row>
    <row r="10" spans="1:15" ht="18.75">
      <c r="A10" s="457" t="s">
        <v>451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1:15">
      <c r="B11" s="153" t="s">
        <v>452</v>
      </c>
    </row>
    <row r="12" spans="1:15" ht="18.75">
      <c r="B12" s="154" t="s">
        <v>453</v>
      </c>
    </row>
    <row r="13" spans="1:15" ht="18.75">
      <c r="A13" s="457" t="s">
        <v>1138</v>
      </c>
      <c r="B13" s="457"/>
    </row>
    <row r="14" spans="1:15" ht="18.75">
      <c r="B14" s="154"/>
    </row>
    <row r="15" spans="1:15" ht="26.25" customHeight="1">
      <c r="A15" s="458" t="s">
        <v>1115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</row>
    <row r="16" spans="1:15">
      <c r="A16" s="454" t="s">
        <v>454</v>
      </c>
      <c r="B16" s="454"/>
    </row>
    <row r="17" spans="1:16">
      <c r="A17" s="151"/>
      <c r="B17" s="151"/>
      <c r="C17" s="151"/>
      <c r="D17" s="151"/>
    </row>
    <row r="18" spans="1:16">
      <c r="A18" s="151"/>
      <c r="B18" s="151"/>
      <c r="C18" s="151"/>
      <c r="D18" s="151"/>
    </row>
    <row r="19" spans="1:16" ht="21" thickBot="1">
      <c r="A19" s="440" t="s">
        <v>455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</row>
    <row r="20" spans="1:16" ht="68.25" customHeight="1">
      <c r="A20" s="441" t="s">
        <v>456</v>
      </c>
      <c r="B20" s="443" t="s">
        <v>457</v>
      </c>
      <c r="C20" s="445" t="s">
        <v>458</v>
      </c>
      <c r="D20" s="155" t="s">
        <v>459</v>
      </c>
      <c r="E20" s="156" t="s">
        <v>460</v>
      </c>
      <c r="F20" s="449" t="s">
        <v>461</v>
      </c>
      <c r="G20" s="450"/>
      <c r="H20" s="450"/>
      <c r="I20" s="450"/>
      <c r="J20" s="451"/>
      <c r="K20" s="443" t="s">
        <v>461</v>
      </c>
      <c r="L20" s="443"/>
      <c r="M20" s="431" t="s">
        <v>462</v>
      </c>
      <c r="N20" s="431"/>
      <c r="O20" s="447" t="s">
        <v>25</v>
      </c>
    </row>
    <row r="21" spans="1:16" ht="76.5">
      <c r="A21" s="442"/>
      <c r="B21" s="444"/>
      <c r="C21" s="446"/>
      <c r="D21" s="157" t="s">
        <v>7</v>
      </c>
      <c r="E21" s="158" t="s">
        <v>7</v>
      </c>
      <c r="F21" s="158" t="s">
        <v>1134</v>
      </c>
      <c r="G21" s="158" t="s">
        <v>463</v>
      </c>
      <c r="H21" s="158" t="s">
        <v>464</v>
      </c>
      <c r="I21" s="158" t="s">
        <v>1106</v>
      </c>
      <c r="J21" s="158" t="s">
        <v>1139</v>
      </c>
      <c r="K21" s="158" t="s">
        <v>465</v>
      </c>
      <c r="L21" s="158" t="s">
        <v>466</v>
      </c>
      <c r="M21" s="158" t="s">
        <v>467</v>
      </c>
      <c r="N21" s="158" t="s">
        <v>468</v>
      </c>
      <c r="O21" s="448"/>
    </row>
    <row r="22" spans="1:16" s="162" customFormat="1" ht="16.5" thickBot="1">
      <c r="A22" s="159">
        <v>1</v>
      </c>
      <c r="B22" s="160">
        <v>2</v>
      </c>
      <c r="C22" s="161">
        <v>3</v>
      </c>
      <c r="D22" s="159" t="s">
        <v>469</v>
      </c>
      <c r="E22" s="160">
        <v>5</v>
      </c>
      <c r="F22" s="159" t="s">
        <v>469</v>
      </c>
      <c r="G22" s="159" t="s">
        <v>469</v>
      </c>
      <c r="H22" s="159" t="s">
        <v>470</v>
      </c>
      <c r="I22" s="159"/>
      <c r="J22" s="159" t="s">
        <v>470</v>
      </c>
      <c r="K22" s="159" t="s">
        <v>471</v>
      </c>
      <c r="L22" s="160">
        <v>9</v>
      </c>
      <c r="M22" s="159" t="s">
        <v>472</v>
      </c>
      <c r="N22" s="160">
        <v>7</v>
      </c>
      <c r="O22" s="159" t="s">
        <v>471</v>
      </c>
      <c r="P22" s="151"/>
    </row>
    <row r="23" spans="1:16" s="162" customFormat="1" ht="19.5" thickBot="1">
      <c r="A23" s="452" t="s">
        <v>473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151"/>
    </row>
    <row r="24" spans="1:16" s="162" customFormat="1">
      <c r="A24" s="248" t="s">
        <v>474</v>
      </c>
      <c r="B24" s="249" t="s">
        <v>475</v>
      </c>
      <c r="C24" s="250" t="s">
        <v>476</v>
      </c>
      <c r="D24" s="251">
        <v>111.839</v>
      </c>
      <c r="E24" s="252">
        <v>128.256</v>
      </c>
      <c r="F24" s="253">
        <f>F30+F32+F38</f>
        <v>134.167</v>
      </c>
      <c r="G24" s="253">
        <f>G30+G32+G38</f>
        <v>67.728999999999999</v>
      </c>
      <c r="H24" s="253">
        <f>H30+H32+H38</f>
        <v>69.50200000000001</v>
      </c>
      <c r="I24" s="253">
        <f>I30+I32+I38</f>
        <v>95.329000000000008</v>
      </c>
      <c r="J24" s="253">
        <f>J30+J32+J38</f>
        <v>65.652000000000001</v>
      </c>
      <c r="K24" s="253">
        <f t="shared" ref="K24:L24" si="0">K30+K32+K38</f>
        <v>134.167</v>
      </c>
      <c r="L24" s="253">
        <f t="shared" si="0"/>
        <v>134.167</v>
      </c>
      <c r="M24" s="246">
        <f>J24-F24</f>
        <v>-68.515000000000001</v>
      </c>
      <c r="N24" s="247">
        <f>M24/F24</f>
        <v>-0.51066953870922061</v>
      </c>
      <c r="O24" s="281" t="s">
        <v>385</v>
      </c>
      <c r="P24" s="151"/>
    </row>
    <row r="25" spans="1:16" s="162" customFormat="1">
      <c r="A25" s="165" t="s">
        <v>477</v>
      </c>
      <c r="B25" s="166" t="s">
        <v>478</v>
      </c>
      <c r="C25" s="167" t="s">
        <v>476</v>
      </c>
      <c r="D25" s="168">
        <v>0</v>
      </c>
      <c r="E25" s="168">
        <v>0</v>
      </c>
      <c r="F25" s="168">
        <v>0</v>
      </c>
      <c r="G25" s="168"/>
      <c r="H25" s="168"/>
      <c r="I25" s="168"/>
      <c r="J25" s="168"/>
      <c r="K25" s="168">
        <v>0</v>
      </c>
      <c r="L25" s="168"/>
      <c r="M25" s="168"/>
      <c r="N25" s="168"/>
      <c r="O25" s="169"/>
      <c r="P25" s="151"/>
    </row>
    <row r="26" spans="1:16" s="162" customFormat="1" ht="31.5">
      <c r="A26" s="165" t="s">
        <v>479</v>
      </c>
      <c r="B26" s="210" t="s">
        <v>480</v>
      </c>
      <c r="C26" s="167" t="s">
        <v>476</v>
      </c>
      <c r="D26" s="168">
        <v>0</v>
      </c>
      <c r="E26" s="168">
        <v>0</v>
      </c>
      <c r="F26" s="168">
        <v>0</v>
      </c>
      <c r="G26" s="168"/>
      <c r="H26" s="168"/>
      <c r="I26" s="168"/>
      <c r="J26" s="168"/>
      <c r="K26" s="168">
        <v>0</v>
      </c>
      <c r="L26" s="168"/>
      <c r="M26" s="168"/>
      <c r="N26" s="168"/>
      <c r="O26" s="169"/>
      <c r="P26" s="151"/>
    </row>
    <row r="27" spans="1:16" s="162" customFormat="1" ht="31.5">
      <c r="A27" s="165" t="s">
        <v>481</v>
      </c>
      <c r="B27" s="210" t="s">
        <v>482</v>
      </c>
      <c r="C27" s="167" t="s">
        <v>476</v>
      </c>
      <c r="D27" s="168">
        <v>0</v>
      </c>
      <c r="E27" s="168">
        <v>0</v>
      </c>
      <c r="F27" s="168">
        <v>0</v>
      </c>
      <c r="G27" s="168"/>
      <c r="H27" s="168"/>
      <c r="I27" s="168"/>
      <c r="J27" s="168"/>
      <c r="K27" s="168">
        <v>0</v>
      </c>
      <c r="L27" s="168"/>
      <c r="M27" s="168"/>
      <c r="N27" s="168"/>
      <c r="O27" s="169"/>
      <c r="P27" s="151"/>
    </row>
    <row r="28" spans="1:16" s="162" customFormat="1" ht="31.5">
      <c r="A28" s="165" t="s">
        <v>483</v>
      </c>
      <c r="B28" s="210" t="s">
        <v>484</v>
      </c>
      <c r="C28" s="167" t="s">
        <v>476</v>
      </c>
      <c r="D28" s="168">
        <v>0</v>
      </c>
      <c r="E28" s="168">
        <v>0</v>
      </c>
      <c r="F28" s="168">
        <v>0</v>
      </c>
      <c r="G28" s="168"/>
      <c r="H28" s="168"/>
      <c r="I28" s="168"/>
      <c r="J28" s="168"/>
      <c r="K28" s="168">
        <v>0</v>
      </c>
      <c r="L28" s="168"/>
      <c r="M28" s="168"/>
      <c r="N28" s="168"/>
      <c r="O28" s="169"/>
      <c r="P28" s="151"/>
    </row>
    <row r="29" spans="1:16" s="162" customFormat="1">
      <c r="A29" s="165" t="s">
        <v>400</v>
      </c>
      <c r="B29" s="166" t="s">
        <v>485</v>
      </c>
      <c r="C29" s="167" t="s">
        <v>476</v>
      </c>
      <c r="D29" s="168">
        <v>0</v>
      </c>
      <c r="E29" s="168">
        <v>0</v>
      </c>
      <c r="F29" s="170"/>
      <c r="G29" s="170"/>
      <c r="H29" s="170"/>
      <c r="I29" s="170"/>
      <c r="J29" s="170"/>
      <c r="K29" s="171"/>
      <c r="L29" s="170"/>
      <c r="M29" s="171"/>
      <c r="N29" s="170"/>
      <c r="O29" s="169"/>
      <c r="P29" s="151"/>
    </row>
    <row r="30" spans="1:16" s="162" customFormat="1">
      <c r="A30" s="165" t="s">
        <v>486</v>
      </c>
      <c r="B30" s="166" t="s">
        <v>487</v>
      </c>
      <c r="C30" s="167" t="s">
        <v>476</v>
      </c>
      <c r="D30" s="172">
        <v>109.36</v>
      </c>
      <c r="E30" s="173">
        <v>123.607</v>
      </c>
      <c r="F30" s="173">
        <v>130.26</v>
      </c>
      <c r="G30" s="173">
        <v>65.852000000000004</v>
      </c>
      <c r="H30" s="173">
        <v>67.73</v>
      </c>
      <c r="I30" s="173">
        <v>92.512</v>
      </c>
      <c r="J30" s="173">
        <v>63.465000000000003</v>
      </c>
      <c r="K30" s="173">
        <v>130.26</v>
      </c>
      <c r="L30" s="173">
        <f>K30</f>
        <v>130.26</v>
      </c>
      <c r="M30" s="173">
        <f>J30-F30</f>
        <v>-66.794999999999987</v>
      </c>
      <c r="N30" s="174">
        <f>M30/F30</f>
        <v>-0.51278212805158907</v>
      </c>
      <c r="O30" s="287" t="s">
        <v>385</v>
      </c>
      <c r="P30" s="341"/>
    </row>
    <row r="31" spans="1:16" s="162" customFormat="1">
      <c r="A31" s="165" t="s">
        <v>429</v>
      </c>
      <c r="B31" s="166" t="s">
        <v>488</v>
      </c>
      <c r="C31" s="167" t="s">
        <v>476</v>
      </c>
      <c r="D31" s="168">
        <v>0</v>
      </c>
      <c r="E31" s="175">
        <v>0</v>
      </c>
      <c r="F31" s="175"/>
      <c r="G31" s="175"/>
      <c r="H31" s="175"/>
      <c r="I31" s="175"/>
      <c r="J31" s="175"/>
      <c r="K31" s="175">
        <v>0</v>
      </c>
      <c r="L31" s="175"/>
      <c r="M31" s="175"/>
      <c r="N31" s="175"/>
      <c r="O31" s="169"/>
      <c r="P31" s="151"/>
    </row>
    <row r="32" spans="1:16" s="162" customFormat="1">
      <c r="A32" s="165" t="s">
        <v>489</v>
      </c>
      <c r="B32" s="166" t="s">
        <v>490</v>
      </c>
      <c r="C32" s="167" t="s">
        <v>476</v>
      </c>
      <c r="D32" s="172">
        <v>0.17199999999999999</v>
      </c>
      <c r="E32" s="173">
        <v>0.45700000000000002</v>
      </c>
      <c r="F32" s="173">
        <v>0.25</v>
      </c>
      <c r="G32" s="173">
        <v>0.11899999999999999</v>
      </c>
      <c r="H32" s="173">
        <v>0.13500000000000001</v>
      </c>
      <c r="I32" s="173">
        <v>0.18</v>
      </c>
      <c r="J32" s="173">
        <v>9.6000000000000002E-2</v>
      </c>
      <c r="K32" s="173">
        <v>0.25</v>
      </c>
      <c r="L32" s="173">
        <f>K32</f>
        <v>0.25</v>
      </c>
      <c r="M32" s="173">
        <f>J32-F32</f>
        <v>-0.154</v>
      </c>
      <c r="N32" s="174">
        <f>M32/F32</f>
        <v>-0.61599999999999999</v>
      </c>
      <c r="O32" s="287" t="s">
        <v>385</v>
      </c>
      <c r="P32" s="342"/>
    </row>
    <row r="33" spans="1:16" s="162" customFormat="1">
      <c r="A33" s="165" t="s">
        <v>440</v>
      </c>
      <c r="B33" s="166" t="s">
        <v>491</v>
      </c>
      <c r="C33" s="167" t="s">
        <v>476</v>
      </c>
      <c r="D33" s="168">
        <v>0</v>
      </c>
      <c r="E33" s="168">
        <v>0</v>
      </c>
      <c r="F33" s="168"/>
      <c r="G33" s="168"/>
      <c r="H33" s="168"/>
      <c r="I33" s="168"/>
      <c r="J33" s="168"/>
      <c r="K33" s="168">
        <v>0</v>
      </c>
      <c r="L33" s="168"/>
      <c r="M33" s="168"/>
      <c r="N33" s="168"/>
      <c r="O33" s="176"/>
      <c r="P33" s="151"/>
    </row>
    <row r="34" spans="1:16" s="162" customFormat="1">
      <c r="A34" s="165" t="s">
        <v>492</v>
      </c>
      <c r="B34" s="166" t="s">
        <v>493</v>
      </c>
      <c r="C34" s="167" t="s">
        <v>476</v>
      </c>
      <c r="D34" s="168">
        <v>0</v>
      </c>
      <c r="E34" s="168">
        <v>0</v>
      </c>
      <c r="F34" s="168"/>
      <c r="G34" s="168"/>
      <c r="H34" s="168"/>
      <c r="I34" s="168"/>
      <c r="J34" s="168"/>
      <c r="K34" s="168">
        <v>0</v>
      </c>
      <c r="L34" s="168"/>
      <c r="M34" s="168"/>
      <c r="N34" s="168"/>
      <c r="O34" s="176"/>
      <c r="P34" s="151"/>
    </row>
    <row r="35" spans="1:16" s="162" customFormat="1" ht="31.5">
      <c r="A35" s="165" t="s">
        <v>494</v>
      </c>
      <c r="B35" s="210" t="s">
        <v>495</v>
      </c>
      <c r="C35" s="167" t="s">
        <v>476</v>
      </c>
      <c r="D35" s="168">
        <v>0</v>
      </c>
      <c r="E35" s="168">
        <v>0</v>
      </c>
      <c r="F35" s="168"/>
      <c r="G35" s="168"/>
      <c r="H35" s="168"/>
      <c r="I35" s="168"/>
      <c r="J35" s="168"/>
      <c r="K35" s="168">
        <v>0</v>
      </c>
      <c r="L35" s="168"/>
      <c r="M35" s="168"/>
      <c r="N35" s="168"/>
      <c r="O35" s="176"/>
      <c r="P35" s="151"/>
    </row>
    <row r="36" spans="1:16" s="162" customFormat="1">
      <c r="A36" s="165" t="s">
        <v>496</v>
      </c>
      <c r="B36" s="166" t="s">
        <v>497</v>
      </c>
      <c r="C36" s="167" t="s">
        <v>476</v>
      </c>
      <c r="D36" s="168">
        <v>0</v>
      </c>
      <c r="E36" s="168">
        <v>0</v>
      </c>
      <c r="F36" s="168"/>
      <c r="G36" s="168"/>
      <c r="H36" s="168"/>
      <c r="I36" s="168"/>
      <c r="J36" s="168"/>
      <c r="K36" s="168">
        <v>0</v>
      </c>
      <c r="L36" s="168"/>
      <c r="M36" s="168"/>
      <c r="N36" s="168"/>
      <c r="O36" s="176"/>
      <c r="P36" s="151"/>
    </row>
    <row r="37" spans="1:16" s="162" customFormat="1">
      <c r="A37" s="165" t="s">
        <v>498</v>
      </c>
      <c r="B37" s="166" t="s">
        <v>499</v>
      </c>
      <c r="C37" s="167" t="s">
        <v>476</v>
      </c>
      <c r="D37" s="168">
        <v>0</v>
      </c>
      <c r="E37" s="168">
        <v>0</v>
      </c>
      <c r="F37" s="168"/>
      <c r="G37" s="168"/>
      <c r="H37" s="168"/>
      <c r="I37" s="168"/>
      <c r="J37" s="168"/>
      <c r="K37" s="168">
        <v>0</v>
      </c>
      <c r="L37" s="168"/>
      <c r="M37" s="168"/>
      <c r="N37" s="168"/>
      <c r="O37" s="176"/>
      <c r="P37" s="151"/>
    </row>
    <row r="38" spans="1:16" s="162" customFormat="1" ht="16.5" thickBot="1">
      <c r="A38" s="177" t="s">
        <v>500</v>
      </c>
      <c r="B38" s="178" t="s">
        <v>501</v>
      </c>
      <c r="C38" s="179" t="s">
        <v>476</v>
      </c>
      <c r="D38" s="180">
        <v>2.3069999999999999</v>
      </c>
      <c r="E38" s="181">
        <v>4.1920000000000002</v>
      </c>
      <c r="F38" s="182">
        <v>3.657</v>
      </c>
      <c r="G38" s="182">
        <v>1.758</v>
      </c>
      <c r="H38" s="182">
        <v>1.637</v>
      </c>
      <c r="I38" s="182">
        <v>2.637</v>
      </c>
      <c r="J38" s="182">
        <v>2.0910000000000002</v>
      </c>
      <c r="K38" s="183">
        <v>3.657</v>
      </c>
      <c r="L38" s="182">
        <f>K38</f>
        <v>3.657</v>
      </c>
      <c r="M38" s="173">
        <f>J38-F38</f>
        <v>-1.5659999999999998</v>
      </c>
      <c r="N38" s="174">
        <f>M38/F38</f>
        <v>-0.42821985233798188</v>
      </c>
      <c r="O38" s="287" t="s">
        <v>385</v>
      </c>
      <c r="P38" s="341"/>
    </row>
    <row r="39" spans="1:16" s="162" customFormat="1" ht="31.5">
      <c r="A39" s="242" t="s">
        <v>502</v>
      </c>
      <c r="B39" s="243" t="s">
        <v>503</v>
      </c>
      <c r="C39" s="244" t="s">
        <v>476</v>
      </c>
      <c r="D39" s="245">
        <f>D45+D47+D53</f>
        <v>113.46299999999999</v>
      </c>
      <c r="E39" s="245">
        <f t="shared" ref="E39:L39" si="1">E45+E47+E53</f>
        <v>119.742</v>
      </c>
      <c r="F39" s="245">
        <f t="shared" si="1"/>
        <v>123.96400000000001</v>
      </c>
      <c r="G39" s="245">
        <f t="shared" si="1"/>
        <v>60.21</v>
      </c>
      <c r="H39" s="245">
        <f t="shared" si="1"/>
        <v>68.152999999999992</v>
      </c>
      <c r="I39" s="245">
        <f t="shared" ref="I39:J39" si="2">I45+I47+I53</f>
        <v>88.084999999999994</v>
      </c>
      <c r="J39" s="245">
        <f t="shared" si="2"/>
        <v>63.561999999999998</v>
      </c>
      <c r="K39" s="245">
        <f t="shared" si="1"/>
        <v>125.57900000000001</v>
      </c>
      <c r="L39" s="245">
        <f t="shared" si="1"/>
        <v>125.57900000000001</v>
      </c>
      <c r="M39" s="246">
        <f>J39-F39</f>
        <v>-60.402000000000015</v>
      </c>
      <c r="N39" s="247">
        <f>M39/F39</f>
        <v>-0.48725436417024304</v>
      </c>
      <c r="O39" s="281" t="s">
        <v>385</v>
      </c>
      <c r="P39" s="151"/>
    </row>
    <row r="40" spans="1:16" s="162" customFormat="1">
      <c r="A40" s="165" t="s">
        <v>504</v>
      </c>
      <c r="B40" s="166" t="s">
        <v>478</v>
      </c>
      <c r="C40" s="167" t="s">
        <v>476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/>
      <c r="M40" s="168"/>
      <c r="N40" s="168"/>
      <c r="O40" s="176"/>
      <c r="P40" s="151"/>
    </row>
    <row r="41" spans="1:16" s="162" customFormat="1" ht="31.5">
      <c r="A41" s="165" t="s">
        <v>505</v>
      </c>
      <c r="B41" s="210" t="s">
        <v>480</v>
      </c>
      <c r="C41" s="167" t="s">
        <v>476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/>
      <c r="M41" s="168"/>
      <c r="N41" s="168"/>
      <c r="O41" s="176"/>
      <c r="P41" s="151"/>
    </row>
    <row r="42" spans="1:16" s="162" customFormat="1" ht="31.5">
      <c r="A42" s="165" t="s">
        <v>506</v>
      </c>
      <c r="B42" s="210" t="s">
        <v>482</v>
      </c>
      <c r="C42" s="167" t="s">
        <v>476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/>
      <c r="M42" s="168"/>
      <c r="N42" s="168"/>
      <c r="O42" s="176"/>
      <c r="P42" s="151"/>
    </row>
    <row r="43" spans="1:16" s="162" customFormat="1" ht="31.5">
      <c r="A43" s="165" t="s">
        <v>507</v>
      </c>
      <c r="B43" s="210" t="s">
        <v>484</v>
      </c>
      <c r="C43" s="167" t="s">
        <v>476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/>
      <c r="M43" s="168"/>
      <c r="N43" s="168"/>
      <c r="O43" s="176"/>
      <c r="P43" s="151"/>
    </row>
    <row r="44" spans="1:16" s="162" customFormat="1">
      <c r="A44" s="165" t="s">
        <v>508</v>
      </c>
      <c r="B44" s="166" t="s">
        <v>485</v>
      </c>
      <c r="C44" s="167" t="s">
        <v>476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/>
      <c r="M44" s="168"/>
      <c r="N44" s="168"/>
      <c r="O44" s="176"/>
      <c r="P44" s="151"/>
    </row>
    <row r="45" spans="1:16" s="162" customFormat="1">
      <c r="A45" s="165" t="s">
        <v>509</v>
      </c>
      <c r="B45" s="166" t="s">
        <v>487</v>
      </c>
      <c r="C45" s="167" t="s">
        <v>476</v>
      </c>
      <c r="D45" s="171">
        <v>110.923</v>
      </c>
      <c r="E45" s="186">
        <v>116.197</v>
      </c>
      <c r="F45" s="186">
        <v>120.46000000000001</v>
      </c>
      <c r="G45" s="186">
        <f>59.855+0.426-1.141-0.425</f>
        <v>58.715000000000003</v>
      </c>
      <c r="H45" s="186">
        <f>66.743+0.178</f>
        <v>66.920999999999992</v>
      </c>
      <c r="I45" s="186">
        <v>85.468999999999994</v>
      </c>
      <c r="J45" s="186">
        <v>61.915999999999997</v>
      </c>
      <c r="K45" s="171">
        <v>122.075</v>
      </c>
      <c r="L45" s="186">
        <f>K45</f>
        <v>122.075</v>
      </c>
      <c r="M45" s="173">
        <f>J45-F45</f>
        <v>-58.544000000000011</v>
      </c>
      <c r="N45" s="174">
        <f>M45/F45</f>
        <v>-0.48600365266478507</v>
      </c>
      <c r="O45" s="287" t="s">
        <v>385</v>
      </c>
      <c r="P45" s="151"/>
    </row>
    <row r="46" spans="1:16" s="162" customFormat="1">
      <c r="A46" s="165" t="s">
        <v>510</v>
      </c>
      <c r="B46" s="166" t="s">
        <v>488</v>
      </c>
      <c r="C46" s="167" t="s">
        <v>476</v>
      </c>
      <c r="D46" s="168">
        <v>0</v>
      </c>
      <c r="E46" s="168">
        <v>0</v>
      </c>
      <c r="F46" s="186"/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86"/>
      <c r="M46" s="168"/>
      <c r="N46" s="186"/>
      <c r="O46" s="176"/>
      <c r="P46" s="151"/>
    </row>
    <row r="47" spans="1:16" s="162" customFormat="1">
      <c r="A47" s="165" t="s">
        <v>511</v>
      </c>
      <c r="B47" s="166" t="s">
        <v>490</v>
      </c>
      <c r="C47" s="167" t="s">
        <v>476</v>
      </c>
      <c r="D47" s="186">
        <v>0.81399999999999995</v>
      </c>
      <c r="E47" s="171">
        <v>0.745</v>
      </c>
      <c r="F47" s="186">
        <v>1.0509999999999999</v>
      </c>
      <c r="G47" s="171">
        <v>0.56499999999999995</v>
      </c>
      <c r="H47" s="186">
        <v>0.34300000000000003</v>
      </c>
      <c r="I47" s="171">
        <v>0.84699999999999998</v>
      </c>
      <c r="J47" s="186">
        <v>0.375</v>
      </c>
      <c r="K47" s="186">
        <v>1.0509999999999999</v>
      </c>
      <c r="L47" s="186">
        <f t="shared" ref="L47" si="3">K47</f>
        <v>1.0509999999999999</v>
      </c>
      <c r="M47" s="173">
        <f>J47-F47</f>
        <v>-0.67599999999999993</v>
      </c>
      <c r="N47" s="174">
        <f>M47/F47</f>
        <v>-0.64319695528068499</v>
      </c>
      <c r="O47" s="287" t="s">
        <v>385</v>
      </c>
      <c r="P47" s="151"/>
    </row>
    <row r="48" spans="1:16" s="162" customFormat="1">
      <c r="A48" s="165" t="s">
        <v>512</v>
      </c>
      <c r="B48" s="166" t="s">
        <v>491</v>
      </c>
      <c r="C48" s="167" t="s">
        <v>476</v>
      </c>
      <c r="D48" s="168">
        <v>0</v>
      </c>
      <c r="E48" s="168">
        <v>0</v>
      </c>
      <c r="F48" s="168"/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/>
      <c r="M48" s="168"/>
      <c r="N48" s="168"/>
      <c r="O48" s="176"/>
      <c r="P48" s="151"/>
    </row>
    <row r="49" spans="1:16" s="162" customFormat="1">
      <c r="A49" s="165" t="s">
        <v>513</v>
      </c>
      <c r="B49" s="166" t="s">
        <v>493</v>
      </c>
      <c r="C49" s="167" t="s">
        <v>476</v>
      </c>
      <c r="D49" s="168">
        <v>0</v>
      </c>
      <c r="E49" s="168">
        <v>0</v>
      </c>
      <c r="F49" s="168"/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/>
      <c r="M49" s="168"/>
      <c r="N49" s="168"/>
      <c r="O49" s="176"/>
      <c r="P49" s="151"/>
    </row>
    <row r="50" spans="1:16" s="162" customFormat="1" ht="31.5">
      <c r="A50" s="165" t="s">
        <v>514</v>
      </c>
      <c r="B50" s="210" t="s">
        <v>495</v>
      </c>
      <c r="C50" s="167" t="s">
        <v>476</v>
      </c>
      <c r="D50" s="168">
        <v>0</v>
      </c>
      <c r="E50" s="168">
        <v>0</v>
      </c>
      <c r="F50" s="168"/>
      <c r="G50" s="168">
        <v>0</v>
      </c>
      <c r="H50" s="168">
        <v>0</v>
      </c>
      <c r="I50" s="168">
        <v>0</v>
      </c>
      <c r="J50" s="168">
        <v>0</v>
      </c>
      <c r="K50" s="188"/>
      <c r="L50" s="168"/>
      <c r="M50" s="188"/>
      <c r="N50" s="168"/>
      <c r="O50" s="176"/>
      <c r="P50" s="151"/>
    </row>
    <row r="51" spans="1:16" s="162" customFormat="1">
      <c r="A51" s="165" t="s">
        <v>515</v>
      </c>
      <c r="B51" s="210" t="s">
        <v>497</v>
      </c>
      <c r="C51" s="167" t="s">
        <v>476</v>
      </c>
      <c r="D51" s="168">
        <v>0</v>
      </c>
      <c r="E51" s="168">
        <v>0</v>
      </c>
      <c r="F51" s="168"/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/>
      <c r="M51" s="168"/>
      <c r="N51" s="168"/>
      <c r="O51" s="176"/>
      <c r="P51" s="151"/>
    </row>
    <row r="52" spans="1:16" s="162" customFormat="1">
      <c r="A52" s="165" t="s">
        <v>516</v>
      </c>
      <c r="B52" s="210" t="s">
        <v>499</v>
      </c>
      <c r="C52" s="167" t="s">
        <v>476</v>
      </c>
      <c r="D52" s="168">
        <v>0</v>
      </c>
      <c r="E52" s="168">
        <v>0</v>
      </c>
      <c r="F52" s="168"/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/>
      <c r="M52" s="168"/>
      <c r="N52" s="168"/>
      <c r="O52" s="176"/>
      <c r="P52" s="151"/>
    </row>
    <row r="53" spans="1:16" s="162" customFormat="1" ht="16.5" thickBot="1">
      <c r="A53" s="165" t="s">
        <v>517</v>
      </c>
      <c r="B53" s="166" t="s">
        <v>501</v>
      </c>
      <c r="C53" s="167" t="s">
        <v>476</v>
      </c>
      <c r="D53" s="171">
        <v>1.726</v>
      </c>
      <c r="E53" s="186">
        <v>2.8</v>
      </c>
      <c r="F53" s="315">
        <v>2.4529999999999998</v>
      </c>
      <c r="G53" s="315">
        <v>0.93</v>
      </c>
      <c r="H53" s="315">
        <v>0.88900000000000001</v>
      </c>
      <c r="I53" s="315">
        <v>1.7689999999999999</v>
      </c>
      <c r="J53" s="315">
        <v>1.2709999999999999</v>
      </c>
      <c r="K53" s="332">
        <v>2.4529999999999998</v>
      </c>
      <c r="L53" s="315">
        <f t="shared" ref="L53" si="4">K53</f>
        <v>2.4529999999999998</v>
      </c>
      <c r="M53" s="272">
        <f>J53-F53</f>
        <v>-1.1819999999999999</v>
      </c>
      <c r="N53" s="312">
        <f>M53/F53</f>
        <v>-0.48185894822666125</v>
      </c>
      <c r="O53" s="313" t="s">
        <v>385</v>
      </c>
      <c r="P53" s="151"/>
    </row>
    <row r="54" spans="1:16" s="162" customFormat="1" ht="15.75" customHeight="1">
      <c r="A54" s="254" t="s">
        <v>518</v>
      </c>
      <c r="B54" s="255" t="s">
        <v>519</v>
      </c>
      <c r="C54" s="256" t="s">
        <v>476</v>
      </c>
      <c r="D54" s="257">
        <f>D55+D56+D61+D62</f>
        <v>43.107999999999997</v>
      </c>
      <c r="E54" s="329">
        <f t="shared" ref="E54:L54" si="5">E55+E56+E61+E62</f>
        <v>41.483999999999995</v>
      </c>
      <c r="F54" s="336">
        <f t="shared" si="5"/>
        <v>43.512999999999998</v>
      </c>
      <c r="G54" s="263">
        <f t="shared" si="5"/>
        <v>18.864999999999998</v>
      </c>
      <c r="H54" s="336">
        <f t="shared" si="5"/>
        <v>23.169999999999998</v>
      </c>
      <c r="I54" s="261">
        <f>I55+I56+I61+I62</f>
        <v>25.497999999999998</v>
      </c>
      <c r="J54" s="336">
        <f t="shared" ref="J54" si="6">J55+J56+J61+J62</f>
        <v>23.257000000000001</v>
      </c>
      <c r="K54" s="263">
        <f t="shared" si="5"/>
        <v>42.905999999999999</v>
      </c>
      <c r="L54" s="336">
        <f t="shared" si="5"/>
        <v>42.905999999999999</v>
      </c>
      <c r="M54" s="246">
        <f>J54-F54</f>
        <v>-20.255999999999997</v>
      </c>
      <c r="N54" s="247">
        <f>M54/F54</f>
        <v>-0.46551605267391349</v>
      </c>
      <c r="O54" s="281" t="s">
        <v>385</v>
      </c>
      <c r="P54" s="151"/>
    </row>
    <row r="55" spans="1:16" s="162" customFormat="1">
      <c r="A55" s="165" t="s">
        <v>505</v>
      </c>
      <c r="B55" s="210" t="s">
        <v>520</v>
      </c>
      <c r="C55" s="167" t="s">
        <v>476</v>
      </c>
      <c r="D55" s="168">
        <v>0</v>
      </c>
      <c r="E55" s="330">
        <v>0</v>
      </c>
      <c r="F55" s="337"/>
      <c r="G55" s="168"/>
      <c r="H55" s="168"/>
      <c r="I55" s="168"/>
      <c r="J55" s="168"/>
      <c r="K55" s="168">
        <v>0</v>
      </c>
      <c r="L55" s="168"/>
      <c r="M55" s="168"/>
      <c r="N55" s="168"/>
      <c r="O55" s="288"/>
      <c r="P55" s="151"/>
    </row>
    <row r="56" spans="1:16" s="162" customFormat="1">
      <c r="A56" s="165" t="s">
        <v>506</v>
      </c>
      <c r="B56" s="166" t="s">
        <v>521</v>
      </c>
      <c r="C56" s="167" t="s">
        <v>476</v>
      </c>
      <c r="D56" s="171">
        <f>D57+D61</f>
        <v>38.695999999999998</v>
      </c>
      <c r="E56" s="331">
        <f t="shared" ref="E56:L56" si="7">E57+E61</f>
        <v>39.747999999999998</v>
      </c>
      <c r="F56" s="340">
        <f>F57+F60</f>
        <v>36.4</v>
      </c>
      <c r="G56" s="171">
        <f t="shared" si="7"/>
        <v>16.84</v>
      </c>
      <c r="H56" s="171">
        <f t="shared" si="7"/>
        <v>21.204999999999998</v>
      </c>
      <c r="I56" s="202">
        <f>I57+I60</f>
        <v>20.972999999999999</v>
      </c>
      <c r="J56" s="340">
        <f>J57+J60</f>
        <v>20.051000000000002</v>
      </c>
      <c r="K56" s="171">
        <f t="shared" si="7"/>
        <v>36.33</v>
      </c>
      <c r="L56" s="171">
        <f t="shared" si="7"/>
        <v>36.33</v>
      </c>
      <c r="M56" s="173">
        <f t="shared" ref="M56:M58" si="8">J56-F56</f>
        <v>-16.348999999999997</v>
      </c>
      <c r="N56" s="174">
        <f t="shared" ref="N56:N58" si="9">M56/F56</f>
        <v>-0.4491483516483516</v>
      </c>
      <c r="O56" s="287" t="s">
        <v>385</v>
      </c>
      <c r="P56" s="151"/>
    </row>
    <row r="57" spans="1:16" s="162" customFormat="1">
      <c r="A57" s="165" t="s">
        <v>522</v>
      </c>
      <c r="B57" s="210" t="s">
        <v>523</v>
      </c>
      <c r="C57" s="167" t="s">
        <v>476</v>
      </c>
      <c r="D57" s="171">
        <f>D58+0.546</f>
        <v>34.283999999999999</v>
      </c>
      <c r="E57" s="331">
        <f>E58+0.237</f>
        <v>38.012</v>
      </c>
      <c r="F57" s="186">
        <f>F58+0.263</f>
        <v>36.4</v>
      </c>
      <c r="G57" s="171">
        <f>G58+0.302</f>
        <v>14.815</v>
      </c>
      <c r="H57" s="186">
        <f>H58+0.147</f>
        <v>19.239999999999998</v>
      </c>
      <c r="I57" s="171">
        <f>I58+0.409</f>
        <v>20.972999999999999</v>
      </c>
      <c r="J57" s="186">
        <f>J58+0.131</f>
        <v>20.051000000000002</v>
      </c>
      <c r="K57" s="186">
        <v>29.754000000000001</v>
      </c>
      <c r="L57" s="171">
        <f>K57</f>
        <v>29.754000000000001</v>
      </c>
      <c r="M57" s="173">
        <f t="shared" si="8"/>
        <v>-16.348999999999997</v>
      </c>
      <c r="N57" s="174">
        <f t="shared" si="9"/>
        <v>-0.4491483516483516</v>
      </c>
      <c r="O57" s="287" t="s">
        <v>385</v>
      </c>
      <c r="P57" s="151"/>
    </row>
    <row r="58" spans="1:16" s="162" customFormat="1" ht="31.5">
      <c r="A58" s="165" t="s">
        <v>524</v>
      </c>
      <c r="B58" s="189" t="s">
        <v>525</v>
      </c>
      <c r="C58" s="167" t="s">
        <v>476</v>
      </c>
      <c r="D58" s="171">
        <v>33.738</v>
      </c>
      <c r="E58" s="331">
        <v>37.774999999999999</v>
      </c>
      <c r="F58" s="186">
        <v>36.137</v>
      </c>
      <c r="G58" s="171">
        <v>14.513</v>
      </c>
      <c r="H58" s="171">
        <v>19.093</v>
      </c>
      <c r="I58" s="171">
        <v>20.564</v>
      </c>
      <c r="J58" s="186">
        <v>19.920000000000002</v>
      </c>
      <c r="K58" s="171">
        <v>29.431999999999999</v>
      </c>
      <c r="L58" s="171">
        <f>K58</f>
        <v>29.431999999999999</v>
      </c>
      <c r="M58" s="173">
        <f t="shared" si="8"/>
        <v>-16.216999999999999</v>
      </c>
      <c r="N58" s="174">
        <f t="shared" si="9"/>
        <v>-0.44876442427428948</v>
      </c>
      <c r="O58" s="287" t="s">
        <v>385</v>
      </c>
      <c r="P58" s="151"/>
    </row>
    <row r="59" spans="1:16" s="162" customFormat="1">
      <c r="A59" s="165" t="s">
        <v>526</v>
      </c>
      <c r="B59" s="189" t="s">
        <v>527</v>
      </c>
      <c r="C59" s="167" t="s">
        <v>476</v>
      </c>
      <c r="D59" s="168">
        <v>0</v>
      </c>
      <c r="E59" s="330">
        <v>0</v>
      </c>
      <c r="F59" s="337"/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/>
      <c r="M59" s="168"/>
      <c r="N59" s="168"/>
      <c r="O59" s="287" t="s">
        <v>385</v>
      </c>
      <c r="P59" s="151"/>
    </row>
    <row r="60" spans="1:16" s="162" customFormat="1">
      <c r="A60" s="165" t="s">
        <v>528</v>
      </c>
      <c r="B60" s="210" t="s">
        <v>529</v>
      </c>
      <c r="C60" s="167" t="s">
        <v>476</v>
      </c>
      <c r="D60" s="168">
        <v>0</v>
      </c>
      <c r="E60" s="330">
        <v>0</v>
      </c>
      <c r="F60" s="337"/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/>
      <c r="M60" s="168"/>
      <c r="N60" s="168"/>
      <c r="O60" s="287" t="s">
        <v>385</v>
      </c>
      <c r="P60" s="151"/>
    </row>
    <row r="61" spans="1:16" s="162" customFormat="1">
      <c r="A61" s="165" t="s">
        <v>507</v>
      </c>
      <c r="B61" s="166" t="s">
        <v>530</v>
      </c>
      <c r="C61" s="167" t="s">
        <v>476</v>
      </c>
      <c r="D61" s="171">
        <v>4.4119999999999999</v>
      </c>
      <c r="E61" s="331">
        <v>1.736</v>
      </c>
      <c r="F61" s="171">
        <f>1.527+2.274-0.4+2.812+0.9</f>
        <v>7.1130000000000004</v>
      </c>
      <c r="G61" s="171">
        <v>2.0249999999999999</v>
      </c>
      <c r="H61" s="171">
        <v>1.9650000000000001</v>
      </c>
      <c r="I61" s="171">
        <v>4.5250000000000004</v>
      </c>
      <c r="J61" s="171">
        <f>0.742+0.313+0.038+0.125+1.099+0.889</f>
        <v>3.2060000000000004</v>
      </c>
      <c r="K61" s="186">
        <v>6.5759999999999996</v>
      </c>
      <c r="L61" s="171">
        <f>K61</f>
        <v>6.5759999999999996</v>
      </c>
      <c r="M61" s="173">
        <f>J61-F61</f>
        <v>-3.907</v>
      </c>
      <c r="N61" s="174">
        <f>M61/F61</f>
        <v>-0.54927597356952051</v>
      </c>
      <c r="O61" s="287" t="s">
        <v>385</v>
      </c>
      <c r="P61" s="151"/>
    </row>
    <row r="62" spans="1:16" s="162" customFormat="1" ht="16.5" thickBot="1">
      <c r="A62" s="165" t="s">
        <v>531</v>
      </c>
      <c r="B62" s="166" t="s">
        <v>532</v>
      </c>
      <c r="C62" s="167" t="s">
        <v>476</v>
      </c>
      <c r="D62" s="168">
        <v>0</v>
      </c>
      <c r="E62" s="330">
        <v>0</v>
      </c>
      <c r="F62" s="338"/>
      <c r="G62" s="193">
        <v>0</v>
      </c>
      <c r="H62" s="193"/>
      <c r="I62" s="193">
        <v>0</v>
      </c>
      <c r="J62" s="193"/>
      <c r="K62" s="193">
        <v>0</v>
      </c>
      <c r="L62" s="193"/>
      <c r="M62" s="193"/>
      <c r="N62" s="193"/>
      <c r="O62" s="339"/>
      <c r="P62" s="151"/>
    </row>
    <row r="63" spans="1:16" s="162" customFormat="1">
      <c r="A63" s="254" t="s">
        <v>533</v>
      </c>
      <c r="B63" s="255" t="s">
        <v>534</v>
      </c>
      <c r="C63" s="256" t="s">
        <v>476</v>
      </c>
      <c r="D63" s="257">
        <f>D65+D68</f>
        <v>12.282</v>
      </c>
      <c r="E63" s="257">
        <f t="shared" ref="E63:L63" si="10">E65+E68</f>
        <v>8.886000000000001</v>
      </c>
      <c r="F63" s="245">
        <f>F65+F68</f>
        <v>6.7600000000000007</v>
      </c>
      <c r="G63" s="265">
        <f t="shared" si="10"/>
        <v>8.7539999999999996</v>
      </c>
      <c r="H63" s="265">
        <f t="shared" si="10"/>
        <v>8.9209999999999994</v>
      </c>
      <c r="I63" s="265">
        <f t="shared" ref="I63:J63" si="11">I65+I68</f>
        <v>10.053000000000001</v>
      </c>
      <c r="J63" s="265">
        <f t="shared" si="11"/>
        <v>4.8419999999999996</v>
      </c>
      <c r="K63" s="265">
        <f t="shared" si="10"/>
        <v>11.371</v>
      </c>
      <c r="L63" s="265">
        <f t="shared" si="10"/>
        <v>11.371</v>
      </c>
      <c r="M63" s="333">
        <f>J63-F63</f>
        <v>-1.918000000000001</v>
      </c>
      <c r="N63" s="334">
        <f>M63/F63</f>
        <v>-0.2837278106508877</v>
      </c>
      <c r="O63" s="335" t="s">
        <v>385</v>
      </c>
      <c r="P63" s="151"/>
    </row>
    <row r="64" spans="1:16" s="162" customFormat="1" ht="31.5">
      <c r="A64" s="165" t="s">
        <v>535</v>
      </c>
      <c r="B64" s="210" t="s">
        <v>536</v>
      </c>
      <c r="C64" s="167" t="s">
        <v>476</v>
      </c>
      <c r="D64" s="168">
        <v>0</v>
      </c>
      <c r="E64" s="168">
        <v>0</v>
      </c>
      <c r="F64" s="168"/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/>
      <c r="M64" s="168"/>
      <c r="N64" s="168"/>
      <c r="O64" s="289"/>
      <c r="P64" s="151"/>
    </row>
    <row r="65" spans="1:16" s="162" customFormat="1" ht="31.5">
      <c r="A65" s="165" t="s">
        <v>537</v>
      </c>
      <c r="B65" s="210" t="s">
        <v>538</v>
      </c>
      <c r="C65" s="167" t="s">
        <v>476</v>
      </c>
      <c r="D65" s="171">
        <v>12.282</v>
      </c>
      <c r="E65" s="186">
        <v>8.4</v>
      </c>
      <c r="F65" s="171">
        <f>10.487-4.611</f>
        <v>5.8760000000000003</v>
      </c>
      <c r="G65" s="171">
        <v>8.5239999999999991</v>
      </c>
      <c r="H65" s="171">
        <v>8.6859999999999999</v>
      </c>
      <c r="I65" s="171">
        <v>9.2170000000000005</v>
      </c>
      <c r="J65" s="186">
        <f>1.981+1.979</f>
        <v>3.96</v>
      </c>
      <c r="K65" s="171">
        <v>10.487</v>
      </c>
      <c r="L65" s="171">
        <f>K65</f>
        <v>10.487</v>
      </c>
      <c r="M65" s="173">
        <f>J65-F65</f>
        <v>-1.9160000000000004</v>
      </c>
      <c r="N65" s="174">
        <f>M65/F65</f>
        <v>-0.32607215793056504</v>
      </c>
      <c r="O65" s="287" t="s">
        <v>385</v>
      </c>
      <c r="P65" s="151"/>
    </row>
    <row r="66" spans="1:16" s="162" customFormat="1">
      <c r="A66" s="165" t="s">
        <v>539</v>
      </c>
      <c r="B66" s="166" t="s">
        <v>540</v>
      </c>
      <c r="C66" s="167" t="s">
        <v>476</v>
      </c>
      <c r="D66" s="168">
        <v>0</v>
      </c>
      <c r="E66" s="168">
        <v>0</v>
      </c>
      <c r="F66" s="171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71">
        <f t="shared" ref="L66:L77" si="12">K66</f>
        <v>0</v>
      </c>
      <c r="M66" s="168"/>
      <c r="N66" s="171"/>
      <c r="O66" s="289"/>
      <c r="P66" s="151"/>
    </row>
    <row r="67" spans="1:16" s="162" customFormat="1">
      <c r="A67" s="165" t="s">
        <v>541</v>
      </c>
      <c r="B67" s="166" t="s">
        <v>542</v>
      </c>
      <c r="C67" s="167" t="s">
        <v>476</v>
      </c>
      <c r="D67" s="168">
        <v>0</v>
      </c>
      <c r="E67" s="168">
        <v>0</v>
      </c>
      <c r="F67" s="171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71">
        <f t="shared" si="12"/>
        <v>0</v>
      </c>
      <c r="M67" s="168"/>
      <c r="N67" s="171"/>
      <c r="O67" s="289"/>
      <c r="P67" s="151"/>
    </row>
    <row r="68" spans="1:16" s="162" customFormat="1" ht="16.5" thickBot="1">
      <c r="A68" s="165" t="s">
        <v>543</v>
      </c>
      <c r="B68" s="166" t="s">
        <v>544</v>
      </c>
      <c r="C68" s="167" t="s">
        <v>476</v>
      </c>
      <c r="D68" s="171">
        <v>0</v>
      </c>
      <c r="E68" s="171">
        <v>0.48599999999999999</v>
      </c>
      <c r="F68" s="171">
        <v>0.88400000000000001</v>
      </c>
      <c r="G68" s="186">
        <v>0.23</v>
      </c>
      <c r="H68" s="171">
        <v>0.23499999999999999</v>
      </c>
      <c r="I68" s="186">
        <v>0.83599999999999997</v>
      </c>
      <c r="J68" s="171">
        <f>0.032+0.045+0.019+0.125+0.038+0.078+0.443+0.007+0.086+0.009</f>
        <v>0.88200000000000001</v>
      </c>
      <c r="K68" s="186">
        <v>0.88400000000000001</v>
      </c>
      <c r="L68" s="171">
        <f t="shared" si="12"/>
        <v>0.88400000000000001</v>
      </c>
      <c r="M68" s="173">
        <f>J68-F68</f>
        <v>-2.0000000000000018E-3</v>
      </c>
      <c r="N68" s="174">
        <f>M68/F68</f>
        <v>-2.2624434389140291E-3</v>
      </c>
      <c r="O68" s="287" t="s">
        <v>385</v>
      </c>
      <c r="P68" s="151"/>
    </row>
    <row r="69" spans="1:16" s="162" customFormat="1">
      <c r="A69" s="254" t="s">
        <v>545</v>
      </c>
      <c r="B69" s="255" t="s">
        <v>546</v>
      </c>
      <c r="C69" s="256" t="s">
        <v>476</v>
      </c>
      <c r="D69" s="257">
        <f>21.788+6.533</f>
        <v>28.321000000000002</v>
      </c>
      <c r="E69" s="257">
        <f>23.792+7.223</f>
        <v>31.015000000000001</v>
      </c>
      <c r="F69" s="260">
        <v>40.770000000000003</v>
      </c>
      <c r="G69" s="257">
        <f>12.056+3.617+0.731</f>
        <v>16.404</v>
      </c>
      <c r="H69" s="257">
        <f>13.258+4.03</f>
        <v>17.288</v>
      </c>
      <c r="I69" s="257">
        <v>24.606000000000002</v>
      </c>
      <c r="J69" s="257">
        <f>16.329+4.964</f>
        <v>21.292999999999999</v>
      </c>
      <c r="K69" s="257">
        <v>32.600999999999999</v>
      </c>
      <c r="L69" s="257">
        <f t="shared" si="12"/>
        <v>32.600999999999999</v>
      </c>
      <c r="M69" s="282">
        <f t="shared" ref="M69:M71" si="13">J69-F69</f>
        <v>-19.477000000000004</v>
      </c>
      <c r="N69" s="283">
        <f t="shared" ref="N69:N71" si="14">M69/F69</f>
        <v>-0.47772872209958306</v>
      </c>
      <c r="O69" s="284" t="s">
        <v>385</v>
      </c>
      <c r="P69" s="151"/>
    </row>
    <row r="70" spans="1:16" s="162" customFormat="1">
      <c r="A70" s="254" t="s">
        <v>547</v>
      </c>
      <c r="B70" s="255" t="s">
        <v>548</v>
      </c>
      <c r="C70" s="256" t="s">
        <v>476</v>
      </c>
      <c r="D70" s="257">
        <v>4.4180000000000001</v>
      </c>
      <c r="E70" s="257">
        <v>3.0329999999999999</v>
      </c>
      <c r="F70" s="257">
        <v>2.7719999999999998</v>
      </c>
      <c r="G70" s="257">
        <v>1.7070000000000001</v>
      </c>
      <c r="H70" s="257">
        <v>1.411</v>
      </c>
      <c r="I70" s="257">
        <v>2.5619999999999998</v>
      </c>
      <c r="J70" s="257">
        <v>1.7470000000000001</v>
      </c>
      <c r="K70" s="257">
        <v>4.8689999999999998</v>
      </c>
      <c r="L70" s="257">
        <f t="shared" si="12"/>
        <v>4.8689999999999998</v>
      </c>
      <c r="M70" s="285">
        <f t="shared" si="13"/>
        <v>-1.0249999999999997</v>
      </c>
      <c r="N70" s="286">
        <f t="shared" si="14"/>
        <v>-0.36976911976911969</v>
      </c>
      <c r="O70" s="290" t="s">
        <v>385</v>
      </c>
      <c r="P70" s="151"/>
    </row>
    <row r="71" spans="1:16" s="162" customFormat="1" ht="15.75" customHeight="1">
      <c r="A71" s="254" t="s">
        <v>549</v>
      </c>
      <c r="B71" s="255" t="s">
        <v>550</v>
      </c>
      <c r="C71" s="256" t="s">
        <v>476</v>
      </c>
      <c r="D71" s="257">
        <f>D72+D73</f>
        <v>0.23599999999999999</v>
      </c>
      <c r="E71" s="257">
        <f t="shared" ref="E71:K71" si="15">E72+E73</f>
        <v>0.32499999999999996</v>
      </c>
      <c r="F71" s="260">
        <f>F72+F73</f>
        <v>0.51500000000000001</v>
      </c>
      <c r="G71" s="257">
        <f t="shared" si="15"/>
        <v>0.16500000000000001</v>
      </c>
      <c r="H71" s="257">
        <f t="shared" si="15"/>
        <v>0.183</v>
      </c>
      <c r="I71" s="257">
        <f t="shared" ref="I71:J71" si="16">I72+I73</f>
        <v>0.25</v>
      </c>
      <c r="J71" s="257">
        <f t="shared" si="16"/>
        <v>0.26300000000000001</v>
      </c>
      <c r="K71" s="257">
        <f t="shared" si="15"/>
        <v>0.31200000000000006</v>
      </c>
      <c r="L71" s="257">
        <f t="shared" si="12"/>
        <v>0.31200000000000006</v>
      </c>
      <c r="M71" s="258">
        <f t="shared" si="13"/>
        <v>-0.252</v>
      </c>
      <c r="N71" s="259">
        <f t="shared" si="14"/>
        <v>-0.48932038834951458</v>
      </c>
      <c r="O71" s="291" t="s">
        <v>385</v>
      </c>
      <c r="P71" s="151"/>
    </row>
    <row r="72" spans="1:16" s="162" customFormat="1">
      <c r="A72" s="165" t="s">
        <v>551</v>
      </c>
      <c r="B72" s="166" t="s">
        <v>552</v>
      </c>
      <c r="C72" s="167" t="s">
        <v>476</v>
      </c>
      <c r="D72" s="171">
        <v>0.20699999999999999</v>
      </c>
      <c r="E72" s="171">
        <v>0.29399999999999998</v>
      </c>
      <c r="F72" s="186">
        <v>0.48</v>
      </c>
      <c r="G72" s="186">
        <v>0.16</v>
      </c>
      <c r="H72" s="186">
        <v>0.17799999999999999</v>
      </c>
      <c r="I72" s="186">
        <v>0.24</v>
      </c>
      <c r="J72" s="186">
        <v>0.25800000000000001</v>
      </c>
      <c r="K72" s="171">
        <v>0.27700000000000002</v>
      </c>
      <c r="L72" s="171">
        <f t="shared" si="12"/>
        <v>0.27700000000000002</v>
      </c>
      <c r="M72" s="173">
        <f t="shared" ref="M72:M74" si="17">J72-F72</f>
        <v>-0.22199999999999998</v>
      </c>
      <c r="N72" s="174">
        <f t="shared" ref="N72:N74" si="18">M72/F72</f>
        <v>-0.46249999999999997</v>
      </c>
      <c r="O72" s="287" t="s">
        <v>385</v>
      </c>
      <c r="P72" s="151"/>
    </row>
    <row r="73" spans="1:16" s="162" customFormat="1">
      <c r="A73" s="165" t="s">
        <v>553</v>
      </c>
      <c r="B73" s="166" t="s">
        <v>554</v>
      </c>
      <c r="C73" s="167" t="s">
        <v>476</v>
      </c>
      <c r="D73" s="171">
        <v>2.9000000000000001E-2</v>
      </c>
      <c r="E73" s="171">
        <v>3.1E-2</v>
      </c>
      <c r="F73" s="171">
        <v>3.5000000000000003E-2</v>
      </c>
      <c r="G73" s="171">
        <v>5.0000000000000001E-3</v>
      </c>
      <c r="H73" s="171">
        <v>5.0000000000000001E-3</v>
      </c>
      <c r="I73" s="186">
        <v>0.01</v>
      </c>
      <c r="J73" s="171">
        <v>5.0000000000000001E-3</v>
      </c>
      <c r="K73" s="186">
        <v>3.5000000000000003E-2</v>
      </c>
      <c r="L73" s="171">
        <f t="shared" si="12"/>
        <v>3.5000000000000003E-2</v>
      </c>
      <c r="M73" s="173">
        <f t="shared" si="17"/>
        <v>-3.0000000000000002E-2</v>
      </c>
      <c r="N73" s="174">
        <f t="shared" si="18"/>
        <v>-0.8571428571428571</v>
      </c>
      <c r="O73" s="287" t="s">
        <v>385</v>
      </c>
      <c r="P73" s="151"/>
    </row>
    <row r="74" spans="1:16" s="162" customFormat="1">
      <c r="A74" s="254" t="s">
        <v>555</v>
      </c>
      <c r="B74" s="255" t="s">
        <v>556</v>
      </c>
      <c r="C74" s="256" t="s">
        <v>476</v>
      </c>
      <c r="D74" s="257">
        <f>D75+D76+D77</f>
        <v>25.096999999999998</v>
      </c>
      <c r="E74" s="257">
        <f t="shared" ref="E74:K74" si="19">E75+E76+E77</f>
        <v>34.998999999999995</v>
      </c>
      <c r="F74" s="260">
        <f>F75+F76+F77</f>
        <v>29.634000000000015</v>
      </c>
      <c r="G74" s="257">
        <f t="shared" si="19"/>
        <v>14.315000000000001</v>
      </c>
      <c r="H74" s="257">
        <f t="shared" si="19"/>
        <v>17.179999999999986</v>
      </c>
      <c r="I74" s="257">
        <f t="shared" ref="I74:J74" si="20">I75+I76+I77</f>
        <v>25.115999999999989</v>
      </c>
      <c r="J74" s="257">
        <f t="shared" si="20"/>
        <v>12.417999999999994</v>
      </c>
      <c r="K74" s="257">
        <f t="shared" si="19"/>
        <v>33.52000000000001</v>
      </c>
      <c r="L74" s="257">
        <f t="shared" si="12"/>
        <v>33.52000000000001</v>
      </c>
      <c r="M74" s="285">
        <f t="shared" si="17"/>
        <v>-17.216000000000022</v>
      </c>
      <c r="N74" s="286">
        <f t="shared" si="18"/>
        <v>-0.58095430923938762</v>
      </c>
      <c r="O74" s="290" t="s">
        <v>385</v>
      </c>
      <c r="P74" s="151"/>
    </row>
    <row r="75" spans="1:16" s="162" customFormat="1">
      <c r="A75" s="165" t="s">
        <v>557</v>
      </c>
      <c r="B75" s="166" t="s">
        <v>558</v>
      </c>
      <c r="C75" s="167" t="s">
        <v>476</v>
      </c>
      <c r="D75" s="171">
        <f>28.003-6.987</f>
        <v>21.015999999999998</v>
      </c>
      <c r="E75" s="186">
        <f>59.8-29.254</f>
        <v>30.545999999999996</v>
      </c>
      <c r="F75" s="186">
        <f t="shared" ref="F75:K75" si="21">F39-F54-F63-F69-F70-F71-F76-F77</f>
        <v>22.455000000000013</v>
      </c>
      <c r="G75" s="186">
        <f t="shared" si="21"/>
        <v>11.471</v>
      </c>
      <c r="H75" s="186">
        <f t="shared" si="21"/>
        <v>14.317999999999989</v>
      </c>
      <c r="I75" s="186">
        <f t="shared" si="21"/>
        <v>20.84899999999999</v>
      </c>
      <c r="J75" s="186">
        <f>J39-J54-J63-J69-J70-J71-J76-J77+0.258</f>
        <v>8.4699999999999953</v>
      </c>
      <c r="K75" s="186">
        <f t="shared" si="21"/>
        <v>27.762000000000011</v>
      </c>
      <c r="L75" s="171">
        <f t="shared" si="12"/>
        <v>27.762000000000011</v>
      </c>
      <c r="M75" s="173">
        <f t="shared" ref="M75:M77" si="22">J75-F75</f>
        <v>-13.985000000000017</v>
      </c>
      <c r="N75" s="174">
        <f t="shared" ref="N75:N77" si="23">M75/F75</f>
        <v>-0.62280115787129853</v>
      </c>
      <c r="O75" s="287" t="s">
        <v>385</v>
      </c>
      <c r="P75" s="151"/>
    </row>
    <row r="76" spans="1:16" s="162" customFormat="1">
      <c r="A76" s="165" t="s">
        <v>559</v>
      </c>
      <c r="B76" s="166" t="s">
        <v>560</v>
      </c>
      <c r="C76" s="167" t="s">
        <v>476</v>
      </c>
      <c r="D76" s="171">
        <v>4.0810000000000004</v>
      </c>
      <c r="E76" s="171">
        <v>4.4530000000000003</v>
      </c>
      <c r="F76" s="171">
        <f>4.453+1.421</f>
        <v>5.8740000000000006</v>
      </c>
      <c r="G76" s="186">
        <v>2.2269999999999999</v>
      </c>
      <c r="H76" s="171">
        <v>2.282</v>
      </c>
      <c r="I76" s="186">
        <v>3.34</v>
      </c>
      <c r="J76" s="171">
        <f>0.074+0.023+1.691+0.471+1.037</f>
        <v>3.2959999999999998</v>
      </c>
      <c r="K76" s="171">
        <v>4.4530000000000003</v>
      </c>
      <c r="L76" s="171">
        <f t="shared" si="12"/>
        <v>4.4530000000000003</v>
      </c>
      <c r="M76" s="173">
        <f t="shared" si="22"/>
        <v>-2.5780000000000007</v>
      </c>
      <c r="N76" s="174">
        <f t="shared" si="23"/>
        <v>-0.43888321416411313</v>
      </c>
      <c r="O76" s="287" t="s">
        <v>385</v>
      </c>
      <c r="P76" s="151"/>
    </row>
    <row r="77" spans="1:16" s="162" customFormat="1" ht="16.5" thickBot="1">
      <c r="A77" s="190" t="s">
        <v>561</v>
      </c>
      <c r="B77" s="191" t="s">
        <v>562</v>
      </c>
      <c r="C77" s="192" t="s">
        <v>476</v>
      </c>
      <c r="D77" s="168">
        <v>0</v>
      </c>
      <c r="E77" s="168">
        <v>0</v>
      </c>
      <c r="F77" s="171">
        <v>1.3049999999999999</v>
      </c>
      <c r="G77" s="186">
        <v>0.61699999999999999</v>
      </c>
      <c r="H77" s="186">
        <v>0.57999999999999996</v>
      </c>
      <c r="I77" s="186">
        <v>0.92700000000000005</v>
      </c>
      <c r="J77" s="186">
        <v>0.65200000000000002</v>
      </c>
      <c r="K77" s="171">
        <v>1.3049999999999999</v>
      </c>
      <c r="L77" s="171">
        <f t="shared" si="12"/>
        <v>1.3049999999999999</v>
      </c>
      <c r="M77" s="173">
        <f t="shared" si="22"/>
        <v>-0.65299999999999991</v>
      </c>
      <c r="N77" s="174">
        <f t="shared" si="23"/>
        <v>-0.50038314176245202</v>
      </c>
      <c r="O77" s="287" t="s">
        <v>385</v>
      </c>
      <c r="P77" s="151"/>
    </row>
    <row r="78" spans="1:16" s="162" customFormat="1">
      <c r="A78" s="248" t="s">
        <v>563</v>
      </c>
      <c r="B78" s="249" t="s">
        <v>564</v>
      </c>
      <c r="C78" s="250" t="s">
        <v>476</v>
      </c>
      <c r="D78" s="261"/>
      <c r="E78" s="262"/>
      <c r="F78" s="261"/>
      <c r="G78" s="261"/>
      <c r="H78" s="263"/>
      <c r="I78" s="261"/>
      <c r="J78" s="263"/>
      <c r="K78" s="263"/>
      <c r="L78" s="263"/>
      <c r="M78" s="263"/>
      <c r="N78" s="263"/>
      <c r="O78" s="292"/>
      <c r="P78" s="151"/>
    </row>
    <row r="79" spans="1:16" s="162" customFormat="1">
      <c r="A79" s="165" t="s">
        <v>565</v>
      </c>
      <c r="B79" s="166" t="s">
        <v>566</v>
      </c>
      <c r="C79" s="167" t="s">
        <v>476</v>
      </c>
      <c r="D79" s="171">
        <v>2.4820000000000002</v>
      </c>
      <c r="E79" s="186">
        <v>2.44</v>
      </c>
      <c r="F79" s="186">
        <v>3.6520000000000001</v>
      </c>
      <c r="G79" s="186">
        <v>0.78500000000000003</v>
      </c>
      <c r="H79" s="186">
        <v>0.72799999999999998</v>
      </c>
      <c r="I79" s="186">
        <v>1.2729999999999999</v>
      </c>
      <c r="J79" s="186">
        <v>0.748</v>
      </c>
      <c r="K79" s="171">
        <v>3.266</v>
      </c>
      <c r="L79" s="186">
        <f>K79</f>
        <v>3.266</v>
      </c>
      <c r="M79" s="173">
        <f>J79-F79</f>
        <v>-2.9039999999999999</v>
      </c>
      <c r="N79" s="174">
        <f>M79/F79</f>
        <v>-0.79518072289156616</v>
      </c>
      <c r="O79" s="287" t="s">
        <v>385</v>
      </c>
      <c r="P79" s="151"/>
    </row>
    <row r="80" spans="1:16" s="162" customFormat="1">
      <c r="A80" s="165" t="s">
        <v>567</v>
      </c>
      <c r="B80" s="166" t="s">
        <v>568</v>
      </c>
      <c r="C80" s="167" t="s">
        <v>476</v>
      </c>
      <c r="D80" s="168">
        <v>0</v>
      </c>
      <c r="E80" s="168">
        <v>0</v>
      </c>
      <c r="F80" s="168">
        <v>0</v>
      </c>
      <c r="G80" s="168"/>
      <c r="H80" s="168"/>
      <c r="I80" s="168"/>
      <c r="J80" s="168"/>
      <c r="K80" s="168">
        <v>0</v>
      </c>
      <c r="L80" s="168">
        <v>0</v>
      </c>
      <c r="M80" s="168"/>
      <c r="N80" s="168"/>
      <c r="O80" s="176"/>
      <c r="P80" s="151"/>
    </row>
    <row r="81" spans="1:16" s="162" customFormat="1" ht="16.5" thickBot="1">
      <c r="A81" s="177" t="s">
        <v>569</v>
      </c>
      <c r="B81" s="178" t="s">
        <v>570</v>
      </c>
      <c r="C81" s="179" t="s">
        <v>476</v>
      </c>
      <c r="D81" s="193">
        <v>0</v>
      </c>
      <c r="E81" s="193">
        <v>0</v>
      </c>
      <c r="F81" s="193">
        <v>0</v>
      </c>
      <c r="G81" s="193"/>
      <c r="H81" s="193"/>
      <c r="I81" s="193"/>
      <c r="J81" s="193"/>
      <c r="K81" s="193">
        <v>0</v>
      </c>
      <c r="L81" s="193">
        <v>0</v>
      </c>
      <c r="M81" s="193"/>
      <c r="N81" s="193"/>
      <c r="O81" s="293"/>
      <c r="P81" s="151"/>
    </row>
    <row r="82" spans="1:16" s="162" customFormat="1">
      <c r="A82" s="242" t="s">
        <v>571</v>
      </c>
      <c r="B82" s="243" t="s">
        <v>572</v>
      </c>
      <c r="C82" s="244" t="s">
        <v>476</v>
      </c>
      <c r="D82" s="245">
        <f>D24-D39</f>
        <v>-1.6239999999999952</v>
      </c>
      <c r="E82" s="245">
        <f>E24-E39</f>
        <v>8.5139999999999958</v>
      </c>
      <c r="F82" s="245">
        <f>F24-F39</f>
        <v>10.202999999999989</v>
      </c>
      <c r="G82" s="245">
        <f>G24-G39</f>
        <v>7.5189999999999984</v>
      </c>
      <c r="H82" s="245">
        <f t="shared" ref="H82:L82" si="24">H24-H39</f>
        <v>1.349000000000018</v>
      </c>
      <c r="I82" s="245">
        <f>I24-I39</f>
        <v>7.244000000000014</v>
      </c>
      <c r="J82" s="245">
        <f t="shared" ref="J82" si="25">J24-J39</f>
        <v>2.0900000000000034</v>
      </c>
      <c r="K82" s="245">
        <f t="shared" si="24"/>
        <v>8.5879999999999939</v>
      </c>
      <c r="L82" s="245">
        <f t="shared" si="24"/>
        <v>8.5879999999999939</v>
      </c>
      <c r="M82" s="285">
        <f t="shared" ref="M82" si="26">J82-F82</f>
        <v>-8.1129999999999853</v>
      </c>
      <c r="N82" s="286">
        <f t="shared" ref="N82" si="27">M82/F82</f>
        <v>-0.79515828677839795</v>
      </c>
      <c r="O82" s="290" t="s">
        <v>385</v>
      </c>
      <c r="P82" s="151"/>
    </row>
    <row r="83" spans="1:16" s="162" customFormat="1">
      <c r="A83" s="165" t="s">
        <v>573</v>
      </c>
      <c r="B83" s="166" t="s">
        <v>478</v>
      </c>
      <c r="C83" s="167" t="s">
        <v>476</v>
      </c>
      <c r="D83" s="168">
        <v>0</v>
      </c>
      <c r="E83" s="168">
        <v>0</v>
      </c>
      <c r="F83" s="168">
        <v>0</v>
      </c>
      <c r="G83" s="168"/>
      <c r="H83" s="168"/>
      <c r="I83" s="168"/>
      <c r="J83" s="168"/>
      <c r="K83" s="168">
        <v>0</v>
      </c>
      <c r="L83" s="168">
        <v>0</v>
      </c>
      <c r="M83" s="168"/>
      <c r="N83" s="168"/>
      <c r="O83" s="176"/>
      <c r="P83" s="151"/>
    </row>
    <row r="84" spans="1:16" s="162" customFormat="1" ht="31.5">
      <c r="A84" s="165" t="s">
        <v>574</v>
      </c>
      <c r="B84" s="210" t="s">
        <v>480</v>
      </c>
      <c r="C84" s="167" t="s">
        <v>476</v>
      </c>
      <c r="D84" s="168">
        <v>0</v>
      </c>
      <c r="E84" s="168">
        <v>0</v>
      </c>
      <c r="F84" s="168">
        <v>0</v>
      </c>
      <c r="G84" s="168"/>
      <c r="H84" s="168"/>
      <c r="I84" s="168"/>
      <c r="J84" s="168"/>
      <c r="K84" s="168">
        <v>0</v>
      </c>
      <c r="L84" s="168">
        <v>0</v>
      </c>
      <c r="M84" s="168"/>
      <c r="N84" s="168"/>
      <c r="O84" s="176"/>
      <c r="P84" s="151"/>
    </row>
    <row r="85" spans="1:16" s="162" customFormat="1" ht="31.5">
      <c r="A85" s="165" t="s">
        <v>575</v>
      </c>
      <c r="B85" s="210" t="s">
        <v>482</v>
      </c>
      <c r="C85" s="167" t="s">
        <v>476</v>
      </c>
      <c r="D85" s="168">
        <v>0</v>
      </c>
      <c r="E85" s="168">
        <v>0</v>
      </c>
      <c r="F85" s="168">
        <v>0</v>
      </c>
      <c r="G85" s="168"/>
      <c r="H85" s="168"/>
      <c r="I85" s="168"/>
      <c r="J85" s="168"/>
      <c r="K85" s="168">
        <v>0</v>
      </c>
      <c r="L85" s="168">
        <v>0</v>
      </c>
      <c r="M85" s="168"/>
      <c r="N85" s="168"/>
      <c r="O85" s="176"/>
      <c r="P85" s="151"/>
    </row>
    <row r="86" spans="1:16" s="162" customFormat="1" ht="31.5">
      <c r="A86" s="165" t="s">
        <v>576</v>
      </c>
      <c r="B86" s="210" t="s">
        <v>484</v>
      </c>
      <c r="C86" s="167" t="s">
        <v>476</v>
      </c>
      <c r="D86" s="168">
        <v>0</v>
      </c>
      <c r="E86" s="168">
        <v>0</v>
      </c>
      <c r="F86" s="168">
        <v>0</v>
      </c>
      <c r="G86" s="168"/>
      <c r="H86" s="168"/>
      <c r="I86" s="168"/>
      <c r="J86" s="168"/>
      <c r="K86" s="168">
        <v>0</v>
      </c>
      <c r="L86" s="168">
        <v>0</v>
      </c>
      <c r="M86" s="168"/>
      <c r="N86" s="168"/>
      <c r="O86" s="176"/>
      <c r="P86" s="151"/>
    </row>
    <row r="87" spans="1:16" s="162" customFormat="1">
      <c r="A87" s="165" t="s">
        <v>577</v>
      </c>
      <c r="B87" s="166" t="s">
        <v>485</v>
      </c>
      <c r="C87" s="167" t="s">
        <v>476</v>
      </c>
      <c r="D87" s="168">
        <v>0</v>
      </c>
      <c r="E87" s="168">
        <v>0</v>
      </c>
      <c r="F87" s="168">
        <v>0</v>
      </c>
      <c r="G87" s="168"/>
      <c r="H87" s="168"/>
      <c r="I87" s="168"/>
      <c r="J87" s="168"/>
      <c r="K87" s="168">
        <v>0</v>
      </c>
      <c r="L87" s="168">
        <v>0</v>
      </c>
      <c r="M87" s="168"/>
      <c r="N87" s="168"/>
      <c r="O87" s="176"/>
      <c r="P87" s="151"/>
    </row>
    <row r="88" spans="1:16" s="162" customFormat="1">
      <c r="A88" s="165" t="s">
        <v>578</v>
      </c>
      <c r="B88" s="166" t="s">
        <v>487</v>
      </c>
      <c r="C88" s="167" t="s">
        <v>476</v>
      </c>
      <c r="D88" s="171">
        <v>-1.5629999999999999</v>
      </c>
      <c r="E88" s="186">
        <v>7.41</v>
      </c>
      <c r="F88" s="185">
        <f>F30-F45</f>
        <v>9.7999999999999829</v>
      </c>
      <c r="G88" s="185">
        <f>G30-G45</f>
        <v>7.1370000000000005</v>
      </c>
      <c r="H88" s="185">
        <f>H30-H45</f>
        <v>0.80900000000001171</v>
      </c>
      <c r="I88" s="185">
        <f>I30-I45</f>
        <v>7.0430000000000064</v>
      </c>
      <c r="J88" s="185">
        <f>J30-J45</f>
        <v>1.5490000000000066</v>
      </c>
      <c r="K88" s="194">
        <f>6.813+1</f>
        <v>7.8129999999999997</v>
      </c>
      <c r="L88" s="194">
        <f>K88</f>
        <v>7.8129999999999997</v>
      </c>
      <c r="M88" s="173">
        <f>J88-F88</f>
        <v>-8.2509999999999764</v>
      </c>
      <c r="N88" s="174">
        <f>M88/F88</f>
        <v>-0.84193877551020313</v>
      </c>
      <c r="O88" s="287" t="s">
        <v>385</v>
      </c>
      <c r="P88" s="151"/>
    </row>
    <row r="89" spans="1:16" s="162" customFormat="1">
      <c r="A89" s="165" t="s">
        <v>579</v>
      </c>
      <c r="B89" s="166" t="s">
        <v>488</v>
      </c>
      <c r="C89" s="167" t="s">
        <v>476</v>
      </c>
      <c r="D89" s="168">
        <v>0</v>
      </c>
      <c r="E89" s="168">
        <v>0</v>
      </c>
      <c r="F89" s="195">
        <v>0</v>
      </c>
      <c r="G89" s="195"/>
      <c r="H89" s="196">
        <f t="shared" ref="H89" si="28">F89</f>
        <v>0</v>
      </c>
      <c r="I89" s="195"/>
      <c r="J89" s="196">
        <f t="shared" ref="J89" si="29">H89</f>
        <v>0</v>
      </c>
      <c r="K89" s="168">
        <v>0</v>
      </c>
      <c r="L89" s="168">
        <v>0</v>
      </c>
      <c r="M89" s="168"/>
      <c r="N89" s="168"/>
      <c r="O89" s="176"/>
      <c r="P89" s="151"/>
    </row>
    <row r="90" spans="1:16" s="162" customFormat="1">
      <c r="A90" s="165" t="s">
        <v>580</v>
      </c>
      <c r="B90" s="166" t="s">
        <v>490</v>
      </c>
      <c r="C90" s="167" t="s">
        <v>476</v>
      </c>
      <c r="D90" s="171">
        <v>-0.64200000000000002</v>
      </c>
      <c r="E90" s="186">
        <v>-0.28799999999999998</v>
      </c>
      <c r="F90" s="185">
        <f>F32-F47</f>
        <v>-0.80099999999999993</v>
      </c>
      <c r="G90" s="185">
        <f>G32-G47</f>
        <v>-0.44599999999999995</v>
      </c>
      <c r="H90" s="185">
        <f>H32-H47</f>
        <v>-0.20800000000000002</v>
      </c>
      <c r="I90" s="185">
        <f>I32-I47</f>
        <v>-0.66700000000000004</v>
      </c>
      <c r="J90" s="185">
        <f>J32-J47</f>
        <v>-0.27900000000000003</v>
      </c>
      <c r="K90" s="187">
        <v>-0.89</v>
      </c>
      <c r="L90" s="187">
        <v>-0.89</v>
      </c>
      <c r="M90" s="173">
        <f>J90-F90</f>
        <v>0.52199999999999991</v>
      </c>
      <c r="N90" s="174">
        <f>M90/F90</f>
        <v>-0.65168539325842689</v>
      </c>
      <c r="O90" s="287" t="s">
        <v>385</v>
      </c>
      <c r="P90" s="151"/>
    </row>
    <row r="91" spans="1:16" s="162" customFormat="1">
      <c r="A91" s="165" t="s">
        <v>581</v>
      </c>
      <c r="B91" s="166" t="s">
        <v>491</v>
      </c>
      <c r="C91" s="167" t="s">
        <v>476</v>
      </c>
      <c r="D91" s="168">
        <v>0</v>
      </c>
      <c r="E91" s="168">
        <v>0</v>
      </c>
      <c r="F91" s="195">
        <v>0</v>
      </c>
      <c r="G91" s="195"/>
      <c r="H91" s="195"/>
      <c r="I91" s="195"/>
      <c r="J91" s="195"/>
      <c r="K91" s="168">
        <v>0</v>
      </c>
      <c r="L91" s="168">
        <v>0</v>
      </c>
      <c r="M91" s="168"/>
      <c r="N91" s="168"/>
      <c r="O91" s="176"/>
      <c r="P91" s="151"/>
    </row>
    <row r="92" spans="1:16" s="162" customFormat="1">
      <c r="A92" s="165" t="s">
        <v>582</v>
      </c>
      <c r="B92" s="166" t="s">
        <v>493</v>
      </c>
      <c r="C92" s="167" t="s">
        <v>476</v>
      </c>
      <c r="D92" s="168">
        <v>0</v>
      </c>
      <c r="E92" s="168">
        <v>0</v>
      </c>
      <c r="F92" s="195">
        <v>0</v>
      </c>
      <c r="G92" s="195"/>
      <c r="H92" s="195"/>
      <c r="I92" s="195"/>
      <c r="J92" s="195"/>
      <c r="K92" s="168">
        <v>0</v>
      </c>
      <c r="L92" s="168">
        <v>0</v>
      </c>
      <c r="M92" s="168"/>
      <c r="N92" s="168"/>
      <c r="O92" s="176"/>
      <c r="P92" s="151"/>
    </row>
    <row r="93" spans="1:16" s="162" customFormat="1" ht="31.5">
      <c r="A93" s="165" t="s">
        <v>583</v>
      </c>
      <c r="B93" s="210" t="s">
        <v>495</v>
      </c>
      <c r="C93" s="167" t="s">
        <v>476</v>
      </c>
      <c r="D93" s="168">
        <v>0</v>
      </c>
      <c r="E93" s="168">
        <v>0</v>
      </c>
      <c r="F93" s="195">
        <v>0</v>
      </c>
      <c r="G93" s="195"/>
      <c r="H93" s="195"/>
      <c r="I93" s="195"/>
      <c r="J93" s="195"/>
      <c r="K93" s="168">
        <v>0</v>
      </c>
      <c r="L93" s="168">
        <v>0</v>
      </c>
      <c r="M93" s="168"/>
      <c r="N93" s="168"/>
      <c r="O93" s="176"/>
      <c r="P93" s="151"/>
    </row>
    <row r="94" spans="1:16" s="162" customFormat="1">
      <c r="A94" s="165" t="s">
        <v>584</v>
      </c>
      <c r="B94" s="210" t="s">
        <v>497</v>
      </c>
      <c r="C94" s="167" t="s">
        <v>476</v>
      </c>
      <c r="D94" s="168">
        <v>0</v>
      </c>
      <c r="E94" s="168">
        <v>0</v>
      </c>
      <c r="F94" s="195">
        <v>0</v>
      </c>
      <c r="G94" s="195"/>
      <c r="H94" s="195"/>
      <c r="I94" s="195"/>
      <c r="J94" s="195"/>
      <c r="K94" s="168">
        <v>0</v>
      </c>
      <c r="L94" s="168">
        <v>0</v>
      </c>
      <c r="M94" s="168"/>
      <c r="N94" s="168"/>
      <c r="O94" s="176"/>
      <c r="P94" s="151"/>
    </row>
    <row r="95" spans="1:16" s="162" customFormat="1">
      <c r="A95" s="165" t="s">
        <v>585</v>
      </c>
      <c r="B95" s="166" t="s">
        <v>499</v>
      </c>
      <c r="C95" s="167" t="s">
        <v>476</v>
      </c>
      <c r="D95" s="168">
        <v>0</v>
      </c>
      <c r="E95" s="168">
        <v>0</v>
      </c>
      <c r="F95" s="195">
        <v>0</v>
      </c>
      <c r="G95" s="195"/>
      <c r="H95" s="195"/>
      <c r="I95" s="195"/>
      <c r="J95" s="195"/>
      <c r="K95" s="168">
        <v>0</v>
      </c>
      <c r="L95" s="168">
        <v>0</v>
      </c>
      <c r="M95" s="168"/>
      <c r="N95" s="168"/>
      <c r="O95" s="176"/>
      <c r="P95" s="151"/>
    </row>
    <row r="96" spans="1:16" s="162" customFormat="1">
      <c r="A96" s="165" t="s">
        <v>586</v>
      </c>
      <c r="B96" s="166" t="s">
        <v>501</v>
      </c>
      <c r="C96" s="167" t="s">
        <v>476</v>
      </c>
      <c r="D96" s="186">
        <v>0.58099999999999996</v>
      </c>
      <c r="E96" s="171">
        <v>1.3919999999999999</v>
      </c>
      <c r="F96" s="185">
        <f>F38-F53</f>
        <v>1.2040000000000002</v>
      </c>
      <c r="G96" s="185">
        <f>G38-G53</f>
        <v>0.82799999999999996</v>
      </c>
      <c r="H96" s="185">
        <f>H38-H53</f>
        <v>0.748</v>
      </c>
      <c r="I96" s="185">
        <f>I38-I53</f>
        <v>0.8680000000000001</v>
      </c>
      <c r="J96" s="185">
        <f>J38-J53</f>
        <v>0.82000000000000028</v>
      </c>
      <c r="K96" s="187">
        <f>K82-K88-K90</f>
        <v>1.6649999999999943</v>
      </c>
      <c r="L96" s="187">
        <f>K96</f>
        <v>1.6649999999999943</v>
      </c>
      <c r="M96" s="173">
        <f>J96-F96</f>
        <v>-0.3839999999999999</v>
      </c>
      <c r="N96" s="174">
        <f>M96/F96</f>
        <v>-0.31893687707641183</v>
      </c>
      <c r="O96" s="287" t="s">
        <v>385</v>
      </c>
      <c r="P96" s="151"/>
    </row>
    <row r="97" spans="1:16" s="162" customFormat="1">
      <c r="A97" s="254" t="s">
        <v>587</v>
      </c>
      <c r="B97" s="255" t="s">
        <v>588</v>
      </c>
      <c r="C97" s="256" t="s">
        <v>476</v>
      </c>
      <c r="D97" s="257">
        <f>D98-D104</f>
        <v>1.2050000000000001</v>
      </c>
      <c r="E97" s="257">
        <f t="shared" ref="E97:L97" si="30">E98-E104</f>
        <v>0.32200000000000273</v>
      </c>
      <c r="F97" s="260">
        <f t="shared" si="30"/>
        <v>-1.4490000000000001</v>
      </c>
      <c r="G97" s="260">
        <f t="shared" si="30"/>
        <v>-0.623</v>
      </c>
      <c r="H97" s="260">
        <f t="shared" si="30"/>
        <v>2.0210000000000008</v>
      </c>
      <c r="I97" s="260">
        <f t="shared" ref="I97:J97" si="31">I98-I104</f>
        <v>-0.84499999999999997</v>
      </c>
      <c r="J97" s="260">
        <f t="shared" si="31"/>
        <v>-0.91400000000000015</v>
      </c>
      <c r="K97" s="260">
        <f t="shared" si="30"/>
        <v>-1.4490000000000001</v>
      </c>
      <c r="L97" s="260">
        <f t="shared" si="30"/>
        <v>-1.4490000000000001</v>
      </c>
      <c r="M97" s="285">
        <f t="shared" ref="M97" si="32">J97-F97</f>
        <v>0.53499999999999992</v>
      </c>
      <c r="N97" s="286">
        <f t="shared" ref="N97" si="33">M97/F97</f>
        <v>-0.36922015182884743</v>
      </c>
      <c r="O97" s="290" t="s">
        <v>385</v>
      </c>
      <c r="P97" s="151"/>
    </row>
    <row r="98" spans="1:16" s="162" customFormat="1">
      <c r="A98" s="165" t="s">
        <v>318</v>
      </c>
      <c r="B98" s="210" t="s">
        <v>589</v>
      </c>
      <c r="C98" s="167" t="s">
        <v>476</v>
      </c>
      <c r="D98" s="171">
        <v>4.5720000000000001</v>
      </c>
      <c r="E98" s="171">
        <f>28.856+0.07</f>
        <v>28.926000000000002</v>
      </c>
      <c r="F98" s="197">
        <f>F99+F100+F101+F102+F103</f>
        <v>0</v>
      </c>
      <c r="G98" s="197">
        <f>G99+G100+G101+G102+G103</f>
        <v>0</v>
      </c>
      <c r="H98" s="171">
        <f>H99+H100+H101+H103</f>
        <v>8.5150000000000006</v>
      </c>
      <c r="I98" s="197">
        <f>I99+I100+I101+I102+I103</f>
        <v>0</v>
      </c>
      <c r="J98" s="186">
        <f>J99+J100+J101+J103</f>
        <v>2.0649999999999999</v>
      </c>
      <c r="K98" s="197">
        <f t="shared" ref="K98:L98" si="34">K99+K100+K101+K102+K103</f>
        <v>0</v>
      </c>
      <c r="L98" s="197">
        <f t="shared" si="34"/>
        <v>0</v>
      </c>
      <c r="M98" s="173">
        <f t="shared" ref="M98:M103" si="35">J98-F98</f>
        <v>2.0649999999999999</v>
      </c>
      <c r="N98" s="174" t="e">
        <f t="shared" ref="N98:N103" si="36">M98/F98</f>
        <v>#DIV/0!</v>
      </c>
      <c r="O98" s="287" t="s">
        <v>385</v>
      </c>
      <c r="P98" s="151"/>
    </row>
    <row r="99" spans="1:16" s="162" customFormat="1">
      <c r="A99" s="165" t="s">
        <v>590</v>
      </c>
      <c r="B99" s="210" t="s">
        <v>591</v>
      </c>
      <c r="C99" s="167" t="s">
        <v>476</v>
      </c>
      <c r="D99" s="168">
        <v>0</v>
      </c>
      <c r="E99" s="168">
        <v>0</v>
      </c>
      <c r="F99" s="168">
        <v>0</v>
      </c>
      <c r="G99" s="168">
        <v>0</v>
      </c>
      <c r="H99" s="171">
        <v>0</v>
      </c>
      <c r="I99" s="168">
        <v>0</v>
      </c>
      <c r="J99" s="171">
        <v>0</v>
      </c>
      <c r="K99" s="168">
        <v>0</v>
      </c>
      <c r="L99" s="168">
        <v>0</v>
      </c>
      <c r="M99" s="173">
        <f t="shared" si="35"/>
        <v>0</v>
      </c>
      <c r="N99" s="174" t="e">
        <f t="shared" si="36"/>
        <v>#DIV/0!</v>
      </c>
      <c r="O99" s="287" t="s">
        <v>385</v>
      </c>
      <c r="P99" s="151"/>
    </row>
    <row r="100" spans="1:16" s="162" customFormat="1">
      <c r="A100" s="165" t="s">
        <v>592</v>
      </c>
      <c r="B100" s="210" t="s">
        <v>593</v>
      </c>
      <c r="C100" s="167" t="s">
        <v>476</v>
      </c>
      <c r="D100" s="171">
        <v>4.2000000000000003E-2</v>
      </c>
      <c r="E100" s="186">
        <v>7.0000000000000007E-2</v>
      </c>
      <c r="F100" s="168">
        <v>0</v>
      </c>
      <c r="G100" s="168">
        <v>0</v>
      </c>
      <c r="H100" s="171">
        <v>0.06</v>
      </c>
      <c r="I100" s="168">
        <v>0</v>
      </c>
      <c r="J100" s="186">
        <v>0</v>
      </c>
      <c r="K100" s="168">
        <v>0</v>
      </c>
      <c r="L100" s="168">
        <v>0</v>
      </c>
      <c r="M100" s="173">
        <f t="shared" si="35"/>
        <v>0</v>
      </c>
      <c r="N100" s="174" t="e">
        <f t="shared" si="36"/>
        <v>#DIV/0!</v>
      </c>
      <c r="O100" s="287" t="s">
        <v>385</v>
      </c>
      <c r="P100" s="151"/>
    </row>
    <row r="101" spans="1:16" s="162" customFormat="1">
      <c r="A101" s="165" t="s">
        <v>594</v>
      </c>
      <c r="B101" s="210" t="s">
        <v>595</v>
      </c>
      <c r="C101" s="167" t="s">
        <v>476</v>
      </c>
      <c r="D101" s="171">
        <v>1.6419999999999999</v>
      </c>
      <c r="E101" s="171">
        <v>20.515999999999998</v>
      </c>
      <c r="F101" s="168">
        <v>0</v>
      </c>
      <c r="G101" s="168">
        <v>0</v>
      </c>
      <c r="H101" s="171">
        <f>H102</f>
        <v>7.3570000000000002</v>
      </c>
      <c r="I101" s="168">
        <v>0</v>
      </c>
      <c r="J101" s="186">
        <f>J102</f>
        <v>2.004</v>
      </c>
      <c r="K101" s="168">
        <v>0</v>
      </c>
      <c r="L101" s="168">
        <v>0</v>
      </c>
      <c r="M101" s="173">
        <f t="shared" si="35"/>
        <v>2.004</v>
      </c>
      <c r="N101" s="174" t="e">
        <f t="shared" si="36"/>
        <v>#DIV/0!</v>
      </c>
      <c r="O101" s="287" t="s">
        <v>385</v>
      </c>
      <c r="P101" s="151"/>
    </row>
    <row r="102" spans="1:16" s="162" customFormat="1">
      <c r="A102" s="165" t="s">
        <v>596</v>
      </c>
      <c r="B102" s="210" t="s">
        <v>597</v>
      </c>
      <c r="C102" s="167" t="s">
        <v>476</v>
      </c>
      <c r="D102" s="171">
        <v>1.6419999999999999</v>
      </c>
      <c r="E102" s="171">
        <v>20.515999999999998</v>
      </c>
      <c r="F102" s="168">
        <v>0</v>
      </c>
      <c r="G102" s="168">
        <v>0</v>
      </c>
      <c r="H102" s="171">
        <v>7.3570000000000002</v>
      </c>
      <c r="I102" s="168">
        <v>0</v>
      </c>
      <c r="J102" s="186">
        <v>2.004</v>
      </c>
      <c r="K102" s="168">
        <v>0</v>
      </c>
      <c r="L102" s="168">
        <v>0</v>
      </c>
      <c r="M102" s="173">
        <f t="shared" si="35"/>
        <v>2.004</v>
      </c>
      <c r="N102" s="174" t="e">
        <f t="shared" si="36"/>
        <v>#DIV/0!</v>
      </c>
      <c r="O102" s="287" t="s">
        <v>385</v>
      </c>
      <c r="P102" s="151"/>
    </row>
    <row r="103" spans="1:16" s="162" customFormat="1">
      <c r="A103" s="165" t="s">
        <v>598</v>
      </c>
      <c r="B103" s="166" t="s">
        <v>599</v>
      </c>
      <c r="C103" s="167" t="s">
        <v>476</v>
      </c>
      <c r="D103" s="171">
        <f>D98-D100-D101</f>
        <v>2.8880000000000003</v>
      </c>
      <c r="E103" s="171">
        <f>E98-E100-E101</f>
        <v>8.3400000000000034</v>
      </c>
      <c r="F103" s="168">
        <v>0</v>
      </c>
      <c r="G103" s="168">
        <v>0</v>
      </c>
      <c r="H103" s="171">
        <v>1.0980000000000001</v>
      </c>
      <c r="I103" s="168">
        <v>0</v>
      </c>
      <c r="J103" s="171">
        <v>6.0999999999999999E-2</v>
      </c>
      <c r="K103" s="168">
        <v>0</v>
      </c>
      <c r="L103" s="168">
        <v>0</v>
      </c>
      <c r="M103" s="173">
        <f t="shared" si="35"/>
        <v>6.0999999999999999E-2</v>
      </c>
      <c r="N103" s="174" t="e">
        <f t="shared" si="36"/>
        <v>#DIV/0!</v>
      </c>
      <c r="O103" s="287" t="s">
        <v>385</v>
      </c>
      <c r="P103" s="151"/>
    </row>
    <row r="104" spans="1:16" s="162" customFormat="1">
      <c r="A104" s="165" t="s">
        <v>319</v>
      </c>
      <c r="B104" s="189" t="s">
        <v>556</v>
      </c>
      <c r="C104" s="167" t="s">
        <v>476</v>
      </c>
      <c r="D104" s="171">
        <v>3.367</v>
      </c>
      <c r="E104" s="171">
        <f>28.582+0.022</f>
        <v>28.603999999999999</v>
      </c>
      <c r="F104" s="171">
        <f>F105+F106+F107+F108+F109</f>
        <v>1.4490000000000001</v>
      </c>
      <c r="G104" s="171">
        <f>G105+G106+G107+G108+G109</f>
        <v>0.623</v>
      </c>
      <c r="H104" s="171">
        <f>H105+H106+H107+H109</f>
        <v>6.4939999999999998</v>
      </c>
      <c r="I104" s="171">
        <f>I105+I106+I107+I108+I109</f>
        <v>0.84499999999999997</v>
      </c>
      <c r="J104" s="171">
        <f>J105+J106+J107+J109</f>
        <v>2.9790000000000001</v>
      </c>
      <c r="K104" s="171">
        <f t="shared" ref="K104:L104" si="37">K105+K106+K107+K108+K109</f>
        <v>1.4490000000000001</v>
      </c>
      <c r="L104" s="171">
        <f t="shared" si="37"/>
        <v>1.4490000000000001</v>
      </c>
      <c r="M104" s="173">
        <f>J104-F104</f>
        <v>1.53</v>
      </c>
      <c r="N104" s="174">
        <f>M104/F104</f>
        <v>1.0559006211180124</v>
      </c>
      <c r="O104" s="287" t="s">
        <v>385</v>
      </c>
      <c r="P104" s="151"/>
    </row>
    <row r="105" spans="1:16" s="162" customFormat="1">
      <c r="A105" s="165" t="s">
        <v>600</v>
      </c>
      <c r="B105" s="166" t="s">
        <v>601</v>
      </c>
      <c r="C105" s="167" t="s">
        <v>476</v>
      </c>
      <c r="D105" s="171">
        <v>0.77900000000000003</v>
      </c>
      <c r="E105" s="171">
        <v>0.55800000000000005</v>
      </c>
      <c r="F105" s="186">
        <f>1.449-0.201</f>
        <v>1.248</v>
      </c>
      <c r="G105" s="171">
        <v>0.623</v>
      </c>
      <c r="H105" s="171">
        <v>0.27600000000000002</v>
      </c>
      <c r="I105" s="171">
        <v>0.84499999999999997</v>
      </c>
      <c r="J105" s="171">
        <f>0.172+0.024</f>
        <v>0.19599999999999998</v>
      </c>
      <c r="K105" s="186">
        <v>1.4490000000000001</v>
      </c>
      <c r="L105" s="186">
        <f>K105</f>
        <v>1.4490000000000001</v>
      </c>
      <c r="M105" s="173">
        <f>J105-F105</f>
        <v>-1.052</v>
      </c>
      <c r="N105" s="174">
        <f>M105/F105</f>
        <v>-0.84294871794871795</v>
      </c>
      <c r="O105" s="287" t="s">
        <v>385</v>
      </c>
      <c r="P105" s="151"/>
    </row>
    <row r="106" spans="1:16" s="162" customFormat="1">
      <c r="A106" s="165" t="s">
        <v>602</v>
      </c>
      <c r="B106" s="166" t="s">
        <v>603</v>
      </c>
      <c r="C106" s="167" t="s">
        <v>476</v>
      </c>
      <c r="D106" s="171">
        <v>0</v>
      </c>
      <c r="E106" s="171">
        <v>2.1999999999999999E-2</v>
      </c>
      <c r="F106" s="168">
        <v>0</v>
      </c>
      <c r="G106" s="168">
        <v>0</v>
      </c>
      <c r="H106" s="168">
        <v>0</v>
      </c>
      <c r="I106" s="168">
        <v>0</v>
      </c>
      <c r="J106" s="186">
        <v>0.09</v>
      </c>
      <c r="K106" s="168">
        <v>0</v>
      </c>
      <c r="L106" s="168">
        <v>0</v>
      </c>
      <c r="M106" s="173">
        <f t="shared" ref="M106:M110" si="38">J106-F106</f>
        <v>0.09</v>
      </c>
      <c r="N106" s="174" t="e">
        <f t="shared" ref="N106:N110" si="39">M106/F106</f>
        <v>#DIV/0!</v>
      </c>
      <c r="O106" s="287" t="s">
        <v>385</v>
      </c>
      <c r="P106" s="151"/>
    </row>
    <row r="107" spans="1:16" s="162" customFormat="1">
      <c r="A107" s="165" t="s">
        <v>604</v>
      </c>
      <c r="B107" s="166" t="s">
        <v>605</v>
      </c>
      <c r="C107" s="167" t="s">
        <v>476</v>
      </c>
      <c r="D107" s="171">
        <v>1.6419999999999999</v>
      </c>
      <c r="E107" s="171">
        <f>E108</f>
        <v>24.030999999999999</v>
      </c>
      <c r="F107" s="168">
        <v>0</v>
      </c>
      <c r="G107" s="168">
        <v>0</v>
      </c>
      <c r="H107" s="171">
        <f>H108</f>
        <v>5.5860000000000003</v>
      </c>
      <c r="I107" s="168">
        <v>0</v>
      </c>
      <c r="J107" s="171">
        <f>J108</f>
        <v>1.911</v>
      </c>
      <c r="K107" s="168">
        <v>0</v>
      </c>
      <c r="L107" s="168">
        <v>0</v>
      </c>
      <c r="M107" s="173">
        <f t="shared" si="38"/>
        <v>1.911</v>
      </c>
      <c r="N107" s="174" t="e">
        <f t="shared" si="39"/>
        <v>#DIV/0!</v>
      </c>
      <c r="O107" s="287" t="s">
        <v>385</v>
      </c>
      <c r="P107" s="151"/>
    </row>
    <row r="108" spans="1:16" s="162" customFormat="1">
      <c r="A108" s="165" t="s">
        <v>606</v>
      </c>
      <c r="B108" s="210" t="s">
        <v>607</v>
      </c>
      <c r="C108" s="167" t="s">
        <v>476</v>
      </c>
      <c r="D108" s="171">
        <v>1.6419999999999999</v>
      </c>
      <c r="E108" s="171">
        <v>24.030999999999999</v>
      </c>
      <c r="F108" s="168">
        <v>0</v>
      </c>
      <c r="G108" s="168">
        <v>0</v>
      </c>
      <c r="H108" s="171">
        <v>5.5860000000000003</v>
      </c>
      <c r="I108" s="168">
        <v>0</v>
      </c>
      <c r="J108" s="171">
        <v>1.911</v>
      </c>
      <c r="K108" s="168">
        <v>0</v>
      </c>
      <c r="L108" s="168">
        <v>0</v>
      </c>
      <c r="M108" s="173">
        <f t="shared" si="38"/>
        <v>1.911</v>
      </c>
      <c r="N108" s="174" t="e">
        <f t="shared" si="39"/>
        <v>#DIV/0!</v>
      </c>
      <c r="O108" s="287" t="s">
        <v>385</v>
      </c>
      <c r="P108" s="151"/>
    </row>
    <row r="109" spans="1:16" s="162" customFormat="1">
      <c r="A109" s="165" t="s">
        <v>608</v>
      </c>
      <c r="B109" s="166" t="s">
        <v>609</v>
      </c>
      <c r="C109" s="167" t="s">
        <v>476</v>
      </c>
      <c r="D109" s="186">
        <f>D104-D105-D107</f>
        <v>0.94600000000000017</v>
      </c>
      <c r="E109" s="171">
        <f>E104-E105-E106-E107</f>
        <v>3.9930000000000021</v>
      </c>
      <c r="F109" s="171">
        <v>0.20100000000000001</v>
      </c>
      <c r="G109" s="171">
        <v>0</v>
      </c>
      <c r="H109" s="171">
        <f>0.606+0.026</f>
        <v>0.63200000000000001</v>
      </c>
      <c r="I109" s="171">
        <v>0</v>
      </c>
      <c r="J109" s="171">
        <v>0.78200000000000003</v>
      </c>
      <c r="K109" s="171">
        <v>0</v>
      </c>
      <c r="L109" s="171">
        <f t="shared" ref="L109" si="40">K109</f>
        <v>0</v>
      </c>
      <c r="M109" s="173">
        <f t="shared" si="38"/>
        <v>0.58099999999999996</v>
      </c>
      <c r="N109" s="174">
        <f t="shared" si="39"/>
        <v>2.8905472636815919</v>
      </c>
      <c r="O109" s="287" t="s">
        <v>385</v>
      </c>
      <c r="P109" s="151"/>
    </row>
    <row r="110" spans="1:16" s="162" customFormat="1">
      <c r="A110" s="254" t="s">
        <v>610</v>
      </c>
      <c r="B110" s="255" t="s">
        <v>611</v>
      </c>
      <c r="C110" s="256" t="s">
        <v>476</v>
      </c>
      <c r="D110" s="257">
        <v>-0.41899999999999998</v>
      </c>
      <c r="E110" s="260">
        <f>E82+E97</f>
        <v>8.8359999999999985</v>
      </c>
      <c r="F110" s="260">
        <f t="shared" ref="F110:L110" si="41">F82+F97</f>
        <v>8.7539999999999889</v>
      </c>
      <c r="G110" s="260">
        <f t="shared" si="41"/>
        <v>6.8959999999999981</v>
      </c>
      <c r="H110" s="260">
        <f>H82+H97</f>
        <v>3.3700000000000188</v>
      </c>
      <c r="I110" s="260">
        <f t="shared" ref="I110" si="42">I82+I97</f>
        <v>6.3990000000000142</v>
      </c>
      <c r="J110" s="260">
        <f>J82+J97</f>
        <v>1.1760000000000033</v>
      </c>
      <c r="K110" s="260">
        <f t="shared" si="41"/>
        <v>7.138999999999994</v>
      </c>
      <c r="L110" s="260">
        <f t="shared" si="41"/>
        <v>7.138999999999994</v>
      </c>
      <c r="M110" s="285">
        <f t="shared" si="38"/>
        <v>-7.5779999999999852</v>
      </c>
      <c r="N110" s="286">
        <f t="shared" si="39"/>
        <v>-0.86566141192597612</v>
      </c>
      <c r="O110" s="290" t="s">
        <v>385</v>
      </c>
      <c r="P110" s="151"/>
    </row>
    <row r="111" spans="1:16" s="162" customFormat="1" ht="31.5">
      <c r="A111" s="165" t="s">
        <v>339</v>
      </c>
      <c r="B111" s="210" t="s">
        <v>612</v>
      </c>
      <c r="C111" s="167" t="s">
        <v>476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74"/>
      <c r="O111" s="176"/>
      <c r="P111" s="151"/>
    </row>
    <row r="112" spans="1:16" s="162" customFormat="1" ht="31.5">
      <c r="A112" s="165" t="s">
        <v>613</v>
      </c>
      <c r="B112" s="210" t="s">
        <v>480</v>
      </c>
      <c r="C112" s="167" t="s">
        <v>476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74"/>
      <c r="O112" s="176"/>
      <c r="P112" s="151"/>
    </row>
    <row r="113" spans="1:16" s="162" customFormat="1" ht="31.5">
      <c r="A113" s="165" t="s">
        <v>614</v>
      </c>
      <c r="B113" s="210" t="s">
        <v>482</v>
      </c>
      <c r="C113" s="167" t="s">
        <v>476</v>
      </c>
      <c r="D113" s="168">
        <v>0</v>
      </c>
      <c r="E113" s="168">
        <v>0</v>
      </c>
      <c r="F113" s="168">
        <v>0</v>
      </c>
      <c r="G113" s="168">
        <v>0</v>
      </c>
      <c r="H113" s="168">
        <v>0</v>
      </c>
      <c r="I113" s="168">
        <v>0</v>
      </c>
      <c r="J113" s="168">
        <v>0</v>
      </c>
      <c r="K113" s="168">
        <v>0</v>
      </c>
      <c r="L113" s="168">
        <v>0</v>
      </c>
      <c r="M113" s="168">
        <v>0</v>
      </c>
      <c r="N113" s="174"/>
      <c r="O113" s="176"/>
      <c r="P113" s="151"/>
    </row>
    <row r="114" spans="1:16" s="162" customFormat="1" ht="31.5">
      <c r="A114" s="165" t="s">
        <v>615</v>
      </c>
      <c r="B114" s="210" t="s">
        <v>484</v>
      </c>
      <c r="C114" s="167" t="s">
        <v>476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74"/>
      <c r="O114" s="176"/>
      <c r="P114" s="151"/>
    </row>
    <row r="115" spans="1:16" s="162" customFormat="1">
      <c r="A115" s="165" t="s">
        <v>340</v>
      </c>
      <c r="B115" s="166" t="s">
        <v>485</v>
      </c>
      <c r="C115" s="167" t="s">
        <v>476</v>
      </c>
      <c r="D115" s="168">
        <v>0</v>
      </c>
      <c r="E115" s="168">
        <v>0</v>
      </c>
      <c r="F115" s="168">
        <v>0</v>
      </c>
      <c r="G115" s="168">
        <v>0</v>
      </c>
      <c r="H115" s="168">
        <v>0</v>
      </c>
      <c r="I115" s="168">
        <v>0</v>
      </c>
      <c r="J115" s="168">
        <v>0</v>
      </c>
      <c r="K115" s="168">
        <v>0</v>
      </c>
      <c r="L115" s="168">
        <v>0</v>
      </c>
      <c r="M115" s="168">
        <v>0</v>
      </c>
      <c r="N115" s="174"/>
      <c r="O115" s="176"/>
      <c r="P115" s="151"/>
    </row>
    <row r="116" spans="1:16" s="162" customFormat="1">
      <c r="A116" s="165" t="s">
        <v>341</v>
      </c>
      <c r="B116" s="166" t="s">
        <v>487</v>
      </c>
      <c r="C116" s="167" t="s">
        <v>476</v>
      </c>
      <c r="D116" s="171">
        <v>-2.7280000000000002</v>
      </c>
      <c r="E116" s="171">
        <v>7.6289999999999996</v>
      </c>
      <c r="F116" s="186">
        <f t="shared" ref="F116:K116" si="43">F110-F118-F124</f>
        <v>8.5519999999999889</v>
      </c>
      <c r="G116" s="186">
        <f t="shared" si="43"/>
        <v>6.5139999999999976</v>
      </c>
      <c r="H116" s="186">
        <f t="shared" si="43"/>
        <v>1.8490000000000189</v>
      </c>
      <c r="I116" s="186">
        <f t="shared" si="43"/>
        <v>6.1980000000000137</v>
      </c>
      <c r="J116" s="186">
        <f t="shared" si="43"/>
        <v>0.66200000000000303</v>
      </c>
      <c r="K116" s="186">
        <f t="shared" si="43"/>
        <v>5.96</v>
      </c>
      <c r="L116" s="171">
        <v>0.84599999999999997</v>
      </c>
      <c r="M116" s="173">
        <f t="shared" ref="M116:M118" si="44">J116-F116</f>
        <v>-7.8899999999999864</v>
      </c>
      <c r="N116" s="174">
        <f t="shared" ref="N116:N118" si="45">M116/F116</f>
        <v>-0.92259120673526618</v>
      </c>
      <c r="O116" s="287" t="s">
        <v>385</v>
      </c>
      <c r="P116" s="151"/>
    </row>
    <row r="117" spans="1:16" s="162" customFormat="1">
      <c r="A117" s="165" t="s">
        <v>342</v>
      </c>
      <c r="B117" s="166" t="s">
        <v>488</v>
      </c>
      <c r="C117" s="167" t="s">
        <v>476</v>
      </c>
      <c r="D117" s="168">
        <v>0</v>
      </c>
      <c r="E117" s="168">
        <v>0</v>
      </c>
      <c r="F117" s="168">
        <v>0</v>
      </c>
      <c r="G117" s="168"/>
      <c r="H117" s="171">
        <f>F117</f>
        <v>0</v>
      </c>
      <c r="I117" s="168"/>
      <c r="J117" s="171">
        <f>H117</f>
        <v>0</v>
      </c>
      <c r="K117" s="168">
        <v>0</v>
      </c>
      <c r="L117" s="168">
        <v>0</v>
      </c>
      <c r="M117" s="173">
        <f t="shared" si="44"/>
        <v>0</v>
      </c>
      <c r="N117" s="174"/>
      <c r="O117" s="287" t="s">
        <v>385</v>
      </c>
      <c r="P117" s="151"/>
    </row>
    <row r="118" spans="1:16" s="162" customFormat="1">
      <c r="A118" s="165" t="s">
        <v>343</v>
      </c>
      <c r="B118" s="166" t="s">
        <v>490</v>
      </c>
      <c r="C118" s="167" t="s">
        <v>476</v>
      </c>
      <c r="D118" s="171">
        <v>-0.64200000000000002</v>
      </c>
      <c r="E118" s="186">
        <v>-0.28799999999999998</v>
      </c>
      <c r="F118" s="187">
        <f>F90</f>
        <v>-0.80099999999999993</v>
      </c>
      <c r="G118" s="187">
        <f>G90</f>
        <v>-0.44599999999999995</v>
      </c>
      <c r="H118" s="187">
        <f>H90</f>
        <v>-0.20800000000000002</v>
      </c>
      <c r="I118" s="187">
        <f>I90</f>
        <v>-0.66700000000000004</v>
      </c>
      <c r="J118" s="187">
        <v>-0.28000000000000003</v>
      </c>
      <c r="K118" s="187">
        <v>-0.38600000000000007</v>
      </c>
      <c r="L118" s="187">
        <v>-0.38600000000000007</v>
      </c>
      <c r="M118" s="173">
        <f t="shared" si="44"/>
        <v>0.52099999999999991</v>
      </c>
      <c r="N118" s="174">
        <f t="shared" si="45"/>
        <v>-0.65043695380774025</v>
      </c>
      <c r="O118" s="287" t="s">
        <v>385</v>
      </c>
      <c r="P118" s="151"/>
    </row>
    <row r="119" spans="1:16" s="162" customFormat="1">
      <c r="A119" s="165" t="s">
        <v>344</v>
      </c>
      <c r="B119" s="166" t="s">
        <v>491</v>
      </c>
      <c r="C119" s="167" t="s">
        <v>476</v>
      </c>
      <c r="D119" s="168">
        <v>0</v>
      </c>
      <c r="E119" s="168">
        <v>0</v>
      </c>
      <c r="F119" s="168">
        <v>0</v>
      </c>
      <c r="G119" s="168">
        <v>0</v>
      </c>
      <c r="H119" s="171">
        <f>F119</f>
        <v>0</v>
      </c>
      <c r="I119" s="168">
        <v>0</v>
      </c>
      <c r="J119" s="171">
        <f>H119</f>
        <v>0</v>
      </c>
      <c r="K119" s="168">
        <v>0</v>
      </c>
      <c r="L119" s="168">
        <v>0</v>
      </c>
      <c r="M119" s="173"/>
      <c r="N119" s="174"/>
      <c r="O119" s="176"/>
      <c r="P119" s="151"/>
    </row>
    <row r="120" spans="1:16" s="162" customFormat="1">
      <c r="A120" s="165" t="s">
        <v>345</v>
      </c>
      <c r="B120" s="166" t="s">
        <v>493</v>
      </c>
      <c r="C120" s="167" t="s">
        <v>476</v>
      </c>
      <c r="D120" s="168">
        <v>0</v>
      </c>
      <c r="E120" s="168">
        <v>0</v>
      </c>
      <c r="F120" s="168">
        <v>0</v>
      </c>
      <c r="G120" s="168">
        <v>0</v>
      </c>
      <c r="H120" s="171">
        <f>F120</f>
        <v>0</v>
      </c>
      <c r="I120" s="168">
        <v>0</v>
      </c>
      <c r="J120" s="171">
        <f>H120</f>
        <v>0</v>
      </c>
      <c r="K120" s="168">
        <v>0</v>
      </c>
      <c r="L120" s="168">
        <v>0</v>
      </c>
      <c r="M120" s="173"/>
      <c r="N120" s="174"/>
      <c r="O120" s="176"/>
      <c r="P120" s="151"/>
    </row>
    <row r="121" spans="1:16" s="162" customFormat="1" ht="31.5">
      <c r="A121" s="165" t="s">
        <v>346</v>
      </c>
      <c r="B121" s="210" t="s">
        <v>495</v>
      </c>
      <c r="C121" s="167" t="s">
        <v>476</v>
      </c>
      <c r="D121" s="168">
        <v>0</v>
      </c>
      <c r="E121" s="168">
        <v>0</v>
      </c>
      <c r="F121" s="168">
        <v>0</v>
      </c>
      <c r="G121" s="168">
        <v>0</v>
      </c>
      <c r="H121" s="171">
        <f>F121</f>
        <v>0</v>
      </c>
      <c r="I121" s="168">
        <v>0</v>
      </c>
      <c r="J121" s="171">
        <f>H121</f>
        <v>0</v>
      </c>
      <c r="K121" s="168">
        <v>0</v>
      </c>
      <c r="L121" s="168">
        <v>0</v>
      </c>
      <c r="M121" s="173"/>
      <c r="N121" s="174"/>
      <c r="O121" s="176"/>
      <c r="P121" s="151"/>
    </row>
    <row r="122" spans="1:16" s="162" customFormat="1">
      <c r="A122" s="165" t="s">
        <v>616</v>
      </c>
      <c r="B122" s="166" t="s">
        <v>497</v>
      </c>
      <c r="C122" s="167" t="s">
        <v>476</v>
      </c>
      <c r="D122" s="168">
        <v>0</v>
      </c>
      <c r="E122" s="168">
        <v>0</v>
      </c>
      <c r="F122" s="168">
        <v>0</v>
      </c>
      <c r="G122" s="168">
        <v>0</v>
      </c>
      <c r="H122" s="171">
        <f>F122</f>
        <v>0</v>
      </c>
      <c r="I122" s="168">
        <v>0</v>
      </c>
      <c r="J122" s="171">
        <f>H122</f>
        <v>0</v>
      </c>
      <c r="K122" s="168">
        <v>0</v>
      </c>
      <c r="L122" s="168">
        <v>0</v>
      </c>
      <c r="M122" s="173"/>
      <c r="N122" s="174"/>
      <c r="O122" s="176"/>
      <c r="P122" s="151"/>
    </row>
    <row r="123" spans="1:16" s="162" customFormat="1">
      <c r="A123" s="165" t="s">
        <v>617</v>
      </c>
      <c r="B123" s="166" t="s">
        <v>499</v>
      </c>
      <c r="C123" s="167" t="s">
        <v>476</v>
      </c>
      <c r="D123" s="168">
        <v>0</v>
      </c>
      <c r="E123" s="168">
        <v>0</v>
      </c>
      <c r="F123" s="168">
        <v>0</v>
      </c>
      <c r="G123" s="168">
        <v>0</v>
      </c>
      <c r="H123" s="171">
        <f>F123</f>
        <v>0</v>
      </c>
      <c r="I123" s="168">
        <v>0</v>
      </c>
      <c r="J123" s="171">
        <f>H123</f>
        <v>0</v>
      </c>
      <c r="K123" s="168">
        <v>0</v>
      </c>
      <c r="L123" s="168">
        <v>0</v>
      </c>
      <c r="M123" s="168"/>
      <c r="N123" s="168"/>
      <c r="O123" s="176"/>
      <c r="P123" s="151"/>
    </row>
    <row r="124" spans="1:16" s="162" customFormat="1">
      <c r="A124" s="165" t="s">
        <v>347</v>
      </c>
      <c r="B124" s="166" t="s">
        <v>501</v>
      </c>
      <c r="C124" s="167" t="s">
        <v>476</v>
      </c>
      <c r="D124" s="171">
        <v>2.9510000000000001</v>
      </c>
      <c r="E124" s="186">
        <v>1.4950000000000001</v>
      </c>
      <c r="F124" s="186">
        <f>F96-F109</f>
        <v>1.0030000000000001</v>
      </c>
      <c r="G124" s="186">
        <f>G96</f>
        <v>0.82799999999999996</v>
      </c>
      <c r="H124" s="186">
        <v>1.7290000000000001</v>
      </c>
      <c r="I124" s="186">
        <f>I96</f>
        <v>0.8680000000000001</v>
      </c>
      <c r="J124" s="186">
        <f>J96-0.026</f>
        <v>0.79400000000000026</v>
      </c>
      <c r="K124" s="186">
        <f>K96-0.1</f>
        <v>1.5649999999999942</v>
      </c>
      <c r="L124" s="171">
        <v>0.58799999999999997</v>
      </c>
      <c r="M124" s="173">
        <f>J124-F124</f>
        <v>-0.20899999999999985</v>
      </c>
      <c r="N124" s="174">
        <f>M124/F124</f>
        <v>-0.20837487537387819</v>
      </c>
      <c r="O124" s="287" t="s">
        <v>385</v>
      </c>
      <c r="P124" s="151"/>
    </row>
    <row r="125" spans="1:16" s="162" customFormat="1">
      <c r="A125" s="254" t="s">
        <v>618</v>
      </c>
      <c r="B125" s="255" t="s">
        <v>619</v>
      </c>
      <c r="C125" s="256" t="s">
        <v>476</v>
      </c>
      <c r="D125" s="257">
        <v>7.4999999999999997E-2</v>
      </c>
      <c r="E125" s="260">
        <v>1.9810000000000001</v>
      </c>
      <c r="F125" s="260">
        <f>F131+F133+F139</f>
        <v>2.1244999999999998</v>
      </c>
      <c r="G125" s="260">
        <f>G131+G133+G139</f>
        <v>1.5038000000000002</v>
      </c>
      <c r="H125" s="260">
        <f>H131+H133+H139</f>
        <v>0.74</v>
      </c>
      <c r="I125" s="260">
        <f>I131+I133+I139</f>
        <v>1.4488000000000014</v>
      </c>
      <c r="J125" s="260">
        <f>J131+J133+J139</f>
        <v>0.29600000000000004</v>
      </c>
      <c r="K125" s="257">
        <f>ROUND((K110+K105)/0.8*0.2,3)</f>
        <v>2.1469999999999998</v>
      </c>
      <c r="L125" s="257">
        <f>K125</f>
        <v>2.1469999999999998</v>
      </c>
      <c r="M125" s="285">
        <f t="shared" ref="M125" si="46">J125-F125</f>
        <v>-1.8284999999999998</v>
      </c>
      <c r="N125" s="286">
        <f t="shared" ref="N125" si="47">M125/F125</f>
        <v>-0.86067309955283589</v>
      </c>
      <c r="O125" s="290" t="s">
        <v>385</v>
      </c>
      <c r="P125" s="151"/>
    </row>
    <row r="126" spans="1:16" s="162" customFormat="1">
      <c r="A126" s="165" t="s">
        <v>354</v>
      </c>
      <c r="B126" s="166" t="s">
        <v>478</v>
      </c>
      <c r="C126" s="167" t="s">
        <v>476</v>
      </c>
      <c r="D126" s="168">
        <v>0</v>
      </c>
      <c r="E126" s="168">
        <v>0</v>
      </c>
      <c r="F126" s="168">
        <v>0</v>
      </c>
      <c r="G126" s="168">
        <v>0</v>
      </c>
      <c r="H126" s="171">
        <f>F126</f>
        <v>0</v>
      </c>
      <c r="I126" s="168">
        <v>0</v>
      </c>
      <c r="J126" s="171">
        <f>H126</f>
        <v>0</v>
      </c>
      <c r="K126" s="168">
        <v>0</v>
      </c>
      <c r="L126" s="168">
        <v>0</v>
      </c>
      <c r="M126" s="168"/>
      <c r="N126" s="168"/>
      <c r="O126" s="176"/>
      <c r="P126" s="151"/>
    </row>
    <row r="127" spans="1:16" s="162" customFormat="1" ht="31.5">
      <c r="A127" s="165" t="s">
        <v>620</v>
      </c>
      <c r="B127" s="210" t="s">
        <v>480</v>
      </c>
      <c r="C127" s="167" t="s">
        <v>476</v>
      </c>
      <c r="D127" s="168">
        <v>0</v>
      </c>
      <c r="E127" s="168">
        <v>0</v>
      </c>
      <c r="F127" s="168">
        <v>0</v>
      </c>
      <c r="G127" s="168">
        <v>0</v>
      </c>
      <c r="H127" s="171">
        <f>F127</f>
        <v>0</v>
      </c>
      <c r="I127" s="168">
        <v>0</v>
      </c>
      <c r="J127" s="171">
        <f>H127</f>
        <v>0</v>
      </c>
      <c r="K127" s="168">
        <v>0</v>
      </c>
      <c r="L127" s="168">
        <v>0</v>
      </c>
      <c r="M127" s="168"/>
      <c r="N127" s="168"/>
      <c r="O127" s="176"/>
      <c r="P127" s="151"/>
    </row>
    <row r="128" spans="1:16" s="162" customFormat="1" ht="31.5">
      <c r="A128" s="165" t="s">
        <v>621</v>
      </c>
      <c r="B128" s="210" t="s">
        <v>482</v>
      </c>
      <c r="C128" s="167" t="s">
        <v>476</v>
      </c>
      <c r="D128" s="168">
        <v>0</v>
      </c>
      <c r="E128" s="168">
        <v>0</v>
      </c>
      <c r="F128" s="168">
        <v>0</v>
      </c>
      <c r="G128" s="168">
        <v>0</v>
      </c>
      <c r="H128" s="171">
        <f>F128</f>
        <v>0</v>
      </c>
      <c r="I128" s="168">
        <v>0</v>
      </c>
      <c r="J128" s="171">
        <f>H128</f>
        <v>0</v>
      </c>
      <c r="K128" s="168">
        <v>0</v>
      </c>
      <c r="L128" s="168">
        <v>0</v>
      </c>
      <c r="M128" s="168"/>
      <c r="N128" s="168"/>
      <c r="O128" s="176"/>
      <c r="P128" s="151"/>
    </row>
    <row r="129" spans="1:16" s="162" customFormat="1" ht="31.5">
      <c r="A129" s="165" t="s">
        <v>622</v>
      </c>
      <c r="B129" s="210" t="s">
        <v>484</v>
      </c>
      <c r="C129" s="167" t="s">
        <v>476</v>
      </c>
      <c r="D129" s="168">
        <v>0</v>
      </c>
      <c r="E129" s="168">
        <v>0</v>
      </c>
      <c r="F129" s="168">
        <v>0</v>
      </c>
      <c r="G129" s="168">
        <v>0</v>
      </c>
      <c r="H129" s="171">
        <f>F129</f>
        <v>0</v>
      </c>
      <c r="I129" s="168">
        <v>0</v>
      </c>
      <c r="J129" s="171">
        <f>H129</f>
        <v>0</v>
      </c>
      <c r="K129" s="168">
        <v>0</v>
      </c>
      <c r="L129" s="168">
        <v>0</v>
      </c>
      <c r="M129" s="168"/>
      <c r="N129" s="168"/>
      <c r="O129" s="176"/>
      <c r="P129" s="151"/>
    </row>
    <row r="130" spans="1:16" s="162" customFormat="1">
      <c r="A130" s="165" t="s">
        <v>355</v>
      </c>
      <c r="B130" s="189" t="s">
        <v>623</v>
      </c>
      <c r="C130" s="167" t="s">
        <v>476</v>
      </c>
      <c r="D130" s="168">
        <v>0</v>
      </c>
      <c r="E130" s="168">
        <v>0</v>
      </c>
      <c r="F130" s="168">
        <v>0</v>
      </c>
      <c r="G130" s="168">
        <v>0</v>
      </c>
      <c r="H130" s="171">
        <f>F130</f>
        <v>0</v>
      </c>
      <c r="I130" s="168">
        <v>0</v>
      </c>
      <c r="J130" s="171">
        <f>H130</f>
        <v>0</v>
      </c>
      <c r="K130" s="168">
        <v>0</v>
      </c>
      <c r="L130" s="168">
        <v>0</v>
      </c>
      <c r="M130" s="168"/>
      <c r="N130" s="168"/>
      <c r="O130" s="176"/>
      <c r="P130" s="151"/>
    </row>
    <row r="131" spans="1:16" s="162" customFormat="1">
      <c r="A131" s="165" t="s">
        <v>356</v>
      </c>
      <c r="B131" s="189" t="s">
        <v>624</v>
      </c>
      <c r="C131" s="167" t="s">
        <v>476</v>
      </c>
      <c r="D131" s="198">
        <v>0</v>
      </c>
      <c r="E131" s="171">
        <v>1.6559999999999999</v>
      </c>
      <c r="F131" s="186">
        <f>(6.958-0.482+1.434)/0.8*0.2</f>
        <v>1.9775</v>
      </c>
      <c r="G131" s="186">
        <f>(G88+G90)*20%</f>
        <v>1.3382000000000003</v>
      </c>
      <c r="H131" s="171">
        <v>0.36899999999999999</v>
      </c>
      <c r="I131" s="186">
        <f>(I88+I90)*20%</f>
        <v>1.2752000000000014</v>
      </c>
      <c r="J131" s="171">
        <v>0.189</v>
      </c>
      <c r="K131" s="171">
        <f>K125-K139</f>
        <v>1.7559999999999998</v>
      </c>
      <c r="L131" s="171">
        <f t="shared" ref="L131" si="48">L125-L139</f>
        <v>1.7559999999999998</v>
      </c>
      <c r="M131" s="173">
        <f>J131-F131</f>
        <v>-1.7885</v>
      </c>
      <c r="N131" s="174">
        <f>M131/F131</f>
        <v>-0.90442477876106186</v>
      </c>
      <c r="O131" s="287" t="s">
        <v>385</v>
      </c>
      <c r="P131" s="151"/>
    </row>
    <row r="132" spans="1:16" s="162" customFormat="1">
      <c r="A132" s="165" t="s">
        <v>357</v>
      </c>
      <c r="B132" s="189" t="s">
        <v>625</v>
      </c>
      <c r="C132" s="167" t="s">
        <v>476</v>
      </c>
      <c r="D132" s="199">
        <v>0</v>
      </c>
      <c r="E132" s="168">
        <v>0</v>
      </c>
      <c r="F132" s="168">
        <v>0</v>
      </c>
      <c r="G132" s="168">
        <v>0</v>
      </c>
      <c r="H132" s="171">
        <f t="shared" ref="H132:H138" si="49">F132</f>
        <v>0</v>
      </c>
      <c r="I132" s="168">
        <v>0</v>
      </c>
      <c r="J132" s="171">
        <f t="shared" ref="J132:J138" si="50">H132</f>
        <v>0</v>
      </c>
      <c r="K132" s="168">
        <v>0</v>
      </c>
      <c r="L132" s="168">
        <v>0</v>
      </c>
      <c r="M132" s="168"/>
      <c r="N132" s="168"/>
      <c r="O132" s="176"/>
      <c r="P132" s="151"/>
    </row>
    <row r="133" spans="1:16" s="162" customFormat="1">
      <c r="A133" s="165" t="s">
        <v>358</v>
      </c>
      <c r="B133" s="189" t="s">
        <v>626</v>
      </c>
      <c r="C133" s="167" t="s">
        <v>476</v>
      </c>
      <c r="D133" s="198">
        <v>0</v>
      </c>
      <c r="E133" s="171">
        <v>0</v>
      </c>
      <c r="F133" s="168">
        <v>0</v>
      </c>
      <c r="G133" s="168">
        <v>0</v>
      </c>
      <c r="H133" s="171">
        <f t="shared" si="49"/>
        <v>0</v>
      </c>
      <c r="I133" s="168">
        <v>0</v>
      </c>
      <c r="J133" s="171">
        <v>-5.6000000000000001E-2</v>
      </c>
      <c r="K133" s="171">
        <v>0</v>
      </c>
      <c r="L133" s="171">
        <v>0</v>
      </c>
      <c r="M133" s="198"/>
      <c r="N133" s="198"/>
      <c r="O133" s="289"/>
      <c r="P133" s="151"/>
    </row>
    <row r="134" spans="1:16" s="162" customFormat="1">
      <c r="A134" s="165" t="s">
        <v>359</v>
      </c>
      <c r="B134" s="189" t="s">
        <v>627</v>
      </c>
      <c r="C134" s="167" t="s">
        <v>476</v>
      </c>
      <c r="D134" s="168">
        <v>0</v>
      </c>
      <c r="E134" s="168">
        <v>0</v>
      </c>
      <c r="F134" s="168">
        <v>0</v>
      </c>
      <c r="G134" s="168">
        <v>0</v>
      </c>
      <c r="H134" s="171">
        <f t="shared" si="49"/>
        <v>0</v>
      </c>
      <c r="I134" s="168">
        <v>0</v>
      </c>
      <c r="J134" s="171">
        <f t="shared" si="50"/>
        <v>0</v>
      </c>
      <c r="K134" s="168">
        <v>0</v>
      </c>
      <c r="L134" s="168">
        <v>0</v>
      </c>
      <c r="M134" s="168"/>
      <c r="N134" s="168"/>
      <c r="O134" s="176"/>
      <c r="P134" s="151"/>
    </row>
    <row r="135" spans="1:16" s="162" customFormat="1">
      <c r="A135" s="165" t="s">
        <v>628</v>
      </c>
      <c r="B135" s="189" t="s">
        <v>629</v>
      </c>
      <c r="C135" s="167" t="s">
        <v>476</v>
      </c>
      <c r="D135" s="168">
        <v>0</v>
      </c>
      <c r="E135" s="168">
        <v>0</v>
      </c>
      <c r="F135" s="168">
        <v>0</v>
      </c>
      <c r="G135" s="168">
        <v>0</v>
      </c>
      <c r="H135" s="171">
        <f t="shared" si="49"/>
        <v>0</v>
      </c>
      <c r="I135" s="168">
        <v>0</v>
      </c>
      <c r="J135" s="171">
        <f t="shared" si="50"/>
        <v>0</v>
      </c>
      <c r="K135" s="168">
        <v>0</v>
      </c>
      <c r="L135" s="168">
        <v>0</v>
      </c>
      <c r="M135" s="168"/>
      <c r="N135" s="168"/>
      <c r="O135" s="176"/>
      <c r="P135" s="151"/>
    </row>
    <row r="136" spans="1:16" s="162" customFormat="1" ht="31.5">
      <c r="A136" s="165" t="s">
        <v>630</v>
      </c>
      <c r="B136" s="189" t="s">
        <v>495</v>
      </c>
      <c r="C136" s="167" t="s">
        <v>476</v>
      </c>
      <c r="D136" s="168">
        <v>0</v>
      </c>
      <c r="E136" s="168">
        <v>0</v>
      </c>
      <c r="F136" s="168">
        <v>0</v>
      </c>
      <c r="G136" s="168">
        <v>0</v>
      </c>
      <c r="H136" s="171">
        <f t="shared" si="49"/>
        <v>0</v>
      </c>
      <c r="I136" s="168">
        <v>0</v>
      </c>
      <c r="J136" s="171">
        <f t="shared" si="50"/>
        <v>0</v>
      </c>
      <c r="K136" s="168">
        <v>0</v>
      </c>
      <c r="L136" s="168">
        <v>0</v>
      </c>
      <c r="M136" s="168"/>
      <c r="N136" s="168"/>
      <c r="O136" s="176"/>
      <c r="P136" s="151"/>
    </row>
    <row r="137" spans="1:16" s="162" customFormat="1">
      <c r="A137" s="165" t="s">
        <v>631</v>
      </c>
      <c r="B137" s="166" t="s">
        <v>632</v>
      </c>
      <c r="C137" s="167" t="s">
        <v>476</v>
      </c>
      <c r="D137" s="168">
        <v>0</v>
      </c>
      <c r="E137" s="168">
        <v>0</v>
      </c>
      <c r="F137" s="168">
        <v>0</v>
      </c>
      <c r="G137" s="168">
        <v>0</v>
      </c>
      <c r="H137" s="171">
        <f t="shared" si="49"/>
        <v>0</v>
      </c>
      <c r="I137" s="168">
        <v>0</v>
      </c>
      <c r="J137" s="171">
        <f t="shared" si="50"/>
        <v>0</v>
      </c>
      <c r="K137" s="168">
        <v>0</v>
      </c>
      <c r="L137" s="168">
        <v>0</v>
      </c>
      <c r="M137" s="168"/>
      <c r="N137" s="168"/>
      <c r="O137" s="176"/>
      <c r="P137" s="151"/>
    </row>
    <row r="138" spans="1:16" s="162" customFormat="1">
      <c r="A138" s="165" t="s">
        <v>633</v>
      </c>
      <c r="B138" s="166" t="s">
        <v>499</v>
      </c>
      <c r="C138" s="167" t="s">
        <v>476</v>
      </c>
      <c r="D138" s="168">
        <v>0</v>
      </c>
      <c r="E138" s="168">
        <v>0</v>
      </c>
      <c r="F138" s="168">
        <v>0</v>
      </c>
      <c r="G138" s="168">
        <v>0</v>
      </c>
      <c r="H138" s="171">
        <f t="shared" si="49"/>
        <v>0</v>
      </c>
      <c r="I138" s="168">
        <v>0</v>
      </c>
      <c r="J138" s="171">
        <f t="shared" si="50"/>
        <v>0</v>
      </c>
      <c r="K138" s="168">
        <v>0</v>
      </c>
      <c r="L138" s="168">
        <v>0</v>
      </c>
      <c r="M138" s="168"/>
      <c r="N138" s="168"/>
      <c r="O138" s="176"/>
      <c r="P138" s="151"/>
    </row>
    <row r="139" spans="1:16" s="162" customFormat="1">
      <c r="A139" s="165" t="s">
        <v>634</v>
      </c>
      <c r="B139" s="189" t="s">
        <v>635</v>
      </c>
      <c r="C139" s="167" t="s">
        <v>476</v>
      </c>
      <c r="D139" s="186">
        <v>7.4999999999999997E-2</v>
      </c>
      <c r="E139" s="171">
        <v>0.32500000000000001</v>
      </c>
      <c r="F139" s="171">
        <v>0.14699999999999999</v>
      </c>
      <c r="G139" s="186">
        <f t="shared" ref="G139" si="51">G96*20%</f>
        <v>0.1656</v>
      </c>
      <c r="H139" s="186">
        <v>0.371</v>
      </c>
      <c r="I139" s="186">
        <f>I124*20%</f>
        <v>0.17360000000000003</v>
      </c>
      <c r="J139" s="186">
        <v>0.16300000000000001</v>
      </c>
      <c r="K139" s="171">
        <f>ROUND(K124/0.8*0.2,3)</f>
        <v>0.39100000000000001</v>
      </c>
      <c r="L139" s="171">
        <f>K139</f>
        <v>0.39100000000000001</v>
      </c>
      <c r="M139" s="173">
        <f>J139-F139</f>
        <v>1.6000000000000014E-2</v>
      </c>
      <c r="N139" s="174">
        <f>M139/F139</f>
        <v>0.10884353741496609</v>
      </c>
      <c r="O139" s="287" t="s">
        <v>385</v>
      </c>
      <c r="P139" s="151"/>
    </row>
    <row r="140" spans="1:16" s="162" customFormat="1">
      <c r="A140" s="254" t="s">
        <v>636</v>
      </c>
      <c r="B140" s="255" t="s">
        <v>637</v>
      </c>
      <c r="C140" s="256" t="s">
        <v>476</v>
      </c>
      <c r="D140" s="257">
        <v>-0.49399999999999999</v>
      </c>
      <c r="E140" s="260">
        <f>E110-E125</f>
        <v>6.8549999999999986</v>
      </c>
      <c r="F140" s="260">
        <f t="shared" ref="F140:L140" si="52">F110-F125</f>
        <v>6.6294999999999895</v>
      </c>
      <c r="G140" s="260">
        <f t="shared" si="52"/>
        <v>5.3921999999999981</v>
      </c>
      <c r="H140" s="260">
        <f t="shared" si="52"/>
        <v>2.6300000000000185</v>
      </c>
      <c r="I140" s="260">
        <f t="shared" ref="I140:J140" si="53">I110-I125</f>
        <v>4.950200000000013</v>
      </c>
      <c r="J140" s="260">
        <f t="shared" si="53"/>
        <v>0.88000000000000322</v>
      </c>
      <c r="K140" s="260">
        <f t="shared" si="52"/>
        <v>4.9919999999999938</v>
      </c>
      <c r="L140" s="260">
        <f t="shared" si="52"/>
        <v>4.9919999999999938</v>
      </c>
      <c r="M140" s="285">
        <f t="shared" ref="M140" si="54">J140-F140</f>
        <v>-5.7494999999999861</v>
      </c>
      <c r="N140" s="286">
        <f t="shared" ref="N140" si="55">M140/F140</f>
        <v>-0.86725997435703972</v>
      </c>
      <c r="O140" s="290" t="s">
        <v>385</v>
      </c>
      <c r="P140" s="151"/>
    </row>
    <row r="141" spans="1:16" s="162" customFormat="1">
      <c r="A141" s="165" t="s">
        <v>362</v>
      </c>
      <c r="B141" s="166" t="s">
        <v>478</v>
      </c>
      <c r="C141" s="167" t="s">
        <v>476</v>
      </c>
      <c r="D141" s="168">
        <v>0</v>
      </c>
      <c r="E141" s="168">
        <v>0</v>
      </c>
      <c r="F141" s="168">
        <v>0</v>
      </c>
      <c r="G141" s="168"/>
      <c r="H141" s="168"/>
      <c r="I141" s="168"/>
      <c r="J141" s="168"/>
      <c r="K141" s="168">
        <v>0</v>
      </c>
      <c r="L141" s="168">
        <v>0</v>
      </c>
      <c r="M141" s="168"/>
      <c r="N141" s="168"/>
      <c r="O141" s="176"/>
      <c r="P141" s="151"/>
    </row>
    <row r="142" spans="1:16" s="162" customFormat="1" ht="31.5">
      <c r="A142" s="165" t="s">
        <v>638</v>
      </c>
      <c r="B142" s="210" t="s">
        <v>480</v>
      </c>
      <c r="C142" s="167" t="s">
        <v>476</v>
      </c>
      <c r="D142" s="168">
        <v>0</v>
      </c>
      <c r="E142" s="168">
        <v>0</v>
      </c>
      <c r="F142" s="168">
        <v>0</v>
      </c>
      <c r="G142" s="168"/>
      <c r="H142" s="168"/>
      <c r="I142" s="168"/>
      <c r="J142" s="168"/>
      <c r="K142" s="168">
        <v>0</v>
      </c>
      <c r="L142" s="168">
        <v>0</v>
      </c>
      <c r="M142" s="168"/>
      <c r="N142" s="168"/>
      <c r="O142" s="176"/>
      <c r="P142" s="151"/>
    </row>
    <row r="143" spans="1:16" s="162" customFormat="1" ht="31.5">
      <c r="A143" s="165" t="s">
        <v>639</v>
      </c>
      <c r="B143" s="210" t="s">
        <v>482</v>
      </c>
      <c r="C143" s="167" t="s">
        <v>476</v>
      </c>
      <c r="D143" s="168">
        <v>0</v>
      </c>
      <c r="E143" s="168">
        <v>0</v>
      </c>
      <c r="F143" s="168">
        <v>0</v>
      </c>
      <c r="G143" s="168"/>
      <c r="H143" s="168"/>
      <c r="I143" s="168"/>
      <c r="J143" s="168"/>
      <c r="K143" s="168">
        <v>0</v>
      </c>
      <c r="L143" s="168">
        <v>0</v>
      </c>
      <c r="M143" s="168"/>
      <c r="N143" s="168"/>
      <c r="O143" s="176"/>
      <c r="P143" s="151"/>
    </row>
    <row r="144" spans="1:16" s="162" customFormat="1" ht="31.5">
      <c r="A144" s="165" t="s">
        <v>640</v>
      </c>
      <c r="B144" s="210" t="s">
        <v>484</v>
      </c>
      <c r="C144" s="167" t="s">
        <v>476</v>
      </c>
      <c r="D144" s="168">
        <v>0</v>
      </c>
      <c r="E144" s="168">
        <v>0</v>
      </c>
      <c r="F144" s="168">
        <v>0</v>
      </c>
      <c r="G144" s="168"/>
      <c r="H144" s="168"/>
      <c r="I144" s="168"/>
      <c r="J144" s="168"/>
      <c r="K144" s="168">
        <v>0</v>
      </c>
      <c r="L144" s="168">
        <v>0</v>
      </c>
      <c r="M144" s="168"/>
      <c r="N144" s="168"/>
      <c r="O144" s="176"/>
      <c r="P144" s="151"/>
    </row>
    <row r="145" spans="1:16" s="162" customFormat="1">
      <c r="A145" s="165" t="s">
        <v>363</v>
      </c>
      <c r="B145" s="166" t="s">
        <v>485</v>
      </c>
      <c r="C145" s="167" t="s">
        <v>476</v>
      </c>
      <c r="D145" s="168">
        <v>0</v>
      </c>
      <c r="E145" s="168">
        <v>0</v>
      </c>
      <c r="F145" s="168">
        <v>0</v>
      </c>
      <c r="G145" s="168"/>
      <c r="H145" s="168"/>
      <c r="I145" s="168"/>
      <c r="J145" s="168"/>
      <c r="K145" s="168">
        <v>0</v>
      </c>
      <c r="L145" s="168">
        <v>0</v>
      </c>
      <c r="M145" s="168"/>
      <c r="N145" s="168"/>
      <c r="O145" s="176"/>
      <c r="P145" s="151"/>
    </row>
    <row r="146" spans="1:16" s="162" customFormat="1">
      <c r="A146" s="165" t="s">
        <v>364</v>
      </c>
      <c r="B146" s="166" t="s">
        <v>487</v>
      </c>
      <c r="C146" s="167" t="s">
        <v>476</v>
      </c>
      <c r="D146" s="171">
        <v>-2.7280000000000002</v>
      </c>
      <c r="E146" s="171">
        <v>5.9729999999999999</v>
      </c>
      <c r="F146" s="186">
        <f>F140-F154-F148</f>
        <v>7.2774999999999901</v>
      </c>
      <c r="G146" s="186">
        <v>5.08</v>
      </c>
      <c r="H146" s="186">
        <v>1.48</v>
      </c>
      <c r="I146" s="186">
        <f>I116-I131</f>
        <v>4.9228000000000121</v>
      </c>
      <c r="J146" s="186">
        <f>J116-J131</f>
        <v>0.47300000000000303</v>
      </c>
      <c r="K146" s="171">
        <v>4.8609999999999998</v>
      </c>
      <c r="L146" s="171">
        <f>K146</f>
        <v>4.8609999999999998</v>
      </c>
      <c r="M146" s="173">
        <f t="shared" ref="M146:M148" si="56">J146-F146</f>
        <v>-6.8044999999999867</v>
      </c>
      <c r="N146" s="174">
        <f t="shared" ref="N146:N148" si="57">M146/F146</f>
        <v>-0.93500515286842956</v>
      </c>
      <c r="O146" s="287" t="s">
        <v>385</v>
      </c>
      <c r="P146" s="151"/>
    </row>
    <row r="147" spans="1:16" s="162" customFormat="1">
      <c r="A147" s="165" t="s">
        <v>365</v>
      </c>
      <c r="B147" s="166" t="s">
        <v>488</v>
      </c>
      <c r="C147" s="167" t="s">
        <v>476</v>
      </c>
      <c r="D147" s="168">
        <v>0</v>
      </c>
      <c r="E147" s="168">
        <v>0</v>
      </c>
      <c r="F147" s="168">
        <v>0</v>
      </c>
      <c r="G147" s="168">
        <v>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73">
        <f t="shared" si="56"/>
        <v>0</v>
      </c>
      <c r="N147" s="174"/>
      <c r="O147" s="287" t="s">
        <v>385</v>
      </c>
      <c r="P147" s="151"/>
    </row>
    <row r="148" spans="1:16" s="162" customFormat="1">
      <c r="A148" s="165" t="s">
        <v>641</v>
      </c>
      <c r="B148" s="210" t="s">
        <v>490</v>
      </c>
      <c r="C148" s="167" t="s">
        <v>476</v>
      </c>
      <c r="D148" s="171">
        <v>-0.64200000000000002</v>
      </c>
      <c r="E148" s="171">
        <v>-0.28799999999999998</v>
      </c>
      <c r="F148" s="187">
        <f>F118</f>
        <v>-0.80099999999999993</v>
      </c>
      <c r="G148" s="187">
        <f>G118</f>
        <v>-0.44599999999999995</v>
      </c>
      <c r="H148" s="187">
        <f t="shared" ref="H148" si="58">H118</f>
        <v>-0.20800000000000002</v>
      </c>
      <c r="I148" s="187">
        <f>I118</f>
        <v>-0.66700000000000004</v>
      </c>
      <c r="J148" s="187">
        <f>J118-J133</f>
        <v>-0.22400000000000003</v>
      </c>
      <c r="K148" s="200">
        <v>0</v>
      </c>
      <c r="L148" s="171">
        <v>0</v>
      </c>
      <c r="M148" s="173">
        <f t="shared" si="56"/>
        <v>0.57699999999999996</v>
      </c>
      <c r="N148" s="174">
        <f t="shared" si="57"/>
        <v>-0.72034956304619224</v>
      </c>
      <c r="O148" s="287" t="s">
        <v>385</v>
      </c>
      <c r="P148" s="151"/>
    </row>
    <row r="149" spans="1:16" s="162" customFormat="1">
      <c r="A149" s="165" t="s">
        <v>642</v>
      </c>
      <c r="B149" s="166" t="s">
        <v>491</v>
      </c>
      <c r="C149" s="167" t="s">
        <v>476</v>
      </c>
      <c r="D149" s="168">
        <v>0</v>
      </c>
      <c r="E149" s="168">
        <v>0</v>
      </c>
      <c r="F149" s="168">
        <v>0</v>
      </c>
      <c r="G149" s="168">
        <v>0</v>
      </c>
      <c r="H149" s="168">
        <v>0</v>
      </c>
      <c r="I149" s="168">
        <v>0</v>
      </c>
      <c r="J149" s="168">
        <v>0</v>
      </c>
      <c r="K149" s="168">
        <v>0</v>
      </c>
      <c r="L149" s="168">
        <v>0</v>
      </c>
      <c r="M149" s="168"/>
      <c r="N149" s="168"/>
      <c r="O149" s="176"/>
      <c r="P149" s="151"/>
    </row>
    <row r="150" spans="1:16" s="162" customFormat="1">
      <c r="A150" s="165" t="s">
        <v>643</v>
      </c>
      <c r="B150" s="166" t="s">
        <v>493</v>
      </c>
      <c r="C150" s="167" t="s">
        <v>476</v>
      </c>
      <c r="D150" s="168">
        <v>0</v>
      </c>
      <c r="E150" s="168">
        <v>0</v>
      </c>
      <c r="F150" s="168">
        <v>0</v>
      </c>
      <c r="G150" s="168">
        <v>0</v>
      </c>
      <c r="H150" s="168">
        <v>0</v>
      </c>
      <c r="I150" s="168">
        <v>0</v>
      </c>
      <c r="J150" s="168">
        <v>0</v>
      </c>
      <c r="K150" s="168">
        <v>0</v>
      </c>
      <c r="L150" s="168">
        <v>0</v>
      </c>
      <c r="M150" s="168"/>
      <c r="N150" s="168"/>
      <c r="O150" s="176">
        <v>0</v>
      </c>
      <c r="P150" s="151"/>
    </row>
    <row r="151" spans="1:16" s="162" customFormat="1" ht="31.5">
      <c r="A151" s="165" t="s">
        <v>644</v>
      </c>
      <c r="B151" s="210" t="s">
        <v>495</v>
      </c>
      <c r="C151" s="167" t="s">
        <v>476</v>
      </c>
      <c r="D151" s="168">
        <v>0</v>
      </c>
      <c r="E151" s="168">
        <v>0</v>
      </c>
      <c r="F151" s="168">
        <v>0</v>
      </c>
      <c r="G151" s="168">
        <v>0</v>
      </c>
      <c r="H151" s="168">
        <v>0</v>
      </c>
      <c r="I151" s="168">
        <v>0</v>
      </c>
      <c r="J151" s="168">
        <v>0</v>
      </c>
      <c r="K151" s="168">
        <v>0</v>
      </c>
      <c r="L151" s="168">
        <v>0</v>
      </c>
      <c r="M151" s="168"/>
      <c r="N151" s="168"/>
      <c r="O151" s="176">
        <v>0</v>
      </c>
      <c r="P151" s="151"/>
    </row>
    <row r="152" spans="1:16" s="162" customFormat="1">
      <c r="A152" s="165" t="s">
        <v>645</v>
      </c>
      <c r="B152" s="166" t="s">
        <v>497</v>
      </c>
      <c r="C152" s="167" t="s">
        <v>476</v>
      </c>
      <c r="D152" s="168">
        <v>0</v>
      </c>
      <c r="E152" s="168">
        <v>0</v>
      </c>
      <c r="F152" s="168">
        <v>0</v>
      </c>
      <c r="G152" s="168">
        <v>0</v>
      </c>
      <c r="H152" s="168">
        <v>0</v>
      </c>
      <c r="I152" s="168">
        <v>0</v>
      </c>
      <c r="J152" s="168">
        <v>0</v>
      </c>
      <c r="K152" s="168">
        <v>0</v>
      </c>
      <c r="L152" s="168">
        <v>0</v>
      </c>
      <c r="M152" s="168"/>
      <c r="N152" s="168"/>
      <c r="O152" s="176">
        <v>0</v>
      </c>
      <c r="P152" s="151"/>
    </row>
    <row r="153" spans="1:16" s="162" customFormat="1">
      <c r="A153" s="165" t="s">
        <v>646</v>
      </c>
      <c r="B153" s="166" t="s">
        <v>499</v>
      </c>
      <c r="C153" s="167" t="s">
        <v>476</v>
      </c>
      <c r="D153" s="168">
        <v>0</v>
      </c>
      <c r="E153" s="168">
        <v>0</v>
      </c>
      <c r="F153" s="168">
        <v>0</v>
      </c>
      <c r="G153" s="168">
        <v>0</v>
      </c>
      <c r="H153" s="168">
        <v>0</v>
      </c>
      <c r="I153" s="168">
        <v>0</v>
      </c>
      <c r="J153" s="168">
        <v>0</v>
      </c>
      <c r="K153" s="168">
        <v>0</v>
      </c>
      <c r="L153" s="168">
        <v>0</v>
      </c>
      <c r="M153" s="168"/>
      <c r="N153" s="168"/>
      <c r="O153" s="176">
        <v>0</v>
      </c>
      <c r="P153" s="151"/>
    </row>
    <row r="154" spans="1:16" s="162" customFormat="1">
      <c r="A154" s="165" t="s">
        <v>647</v>
      </c>
      <c r="B154" s="166" t="s">
        <v>501</v>
      </c>
      <c r="C154" s="167" t="s">
        <v>476</v>
      </c>
      <c r="D154" s="171">
        <v>2.8759999999999999</v>
      </c>
      <c r="E154" s="186">
        <v>1.17</v>
      </c>
      <c r="F154" s="186">
        <v>0.153</v>
      </c>
      <c r="G154" s="186">
        <f>G140-G146-G148</f>
        <v>0.75819999999999799</v>
      </c>
      <c r="H154" s="186">
        <f>H140-H146-H148</f>
        <v>1.3580000000000185</v>
      </c>
      <c r="I154" s="186">
        <f>I140-I146-I148</f>
        <v>0.69440000000000102</v>
      </c>
      <c r="J154" s="186">
        <f>J124-J139</f>
        <v>0.63100000000000023</v>
      </c>
      <c r="K154" s="186">
        <f>K140-K146</f>
        <v>0.13099999999999401</v>
      </c>
      <c r="L154" s="186">
        <f>K154</f>
        <v>0.13099999999999401</v>
      </c>
      <c r="M154" s="173">
        <f t="shared" ref="M154" si="59">J154-F154</f>
        <v>0.4780000000000002</v>
      </c>
      <c r="N154" s="174">
        <f t="shared" ref="N154" si="60">M154/F154</f>
        <v>3.124183006535949</v>
      </c>
      <c r="O154" s="287" t="s">
        <v>385</v>
      </c>
      <c r="P154" s="151"/>
    </row>
    <row r="155" spans="1:16" s="162" customFormat="1">
      <c r="A155" s="254" t="s">
        <v>648</v>
      </c>
      <c r="B155" s="255" t="s">
        <v>649</v>
      </c>
      <c r="C155" s="256" t="s">
        <v>476</v>
      </c>
      <c r="D155" s="264">
        <v>0</v>
      </c>
      <c r="E155" s="264">
        <v>0</v>
      </c>
      <c r="F155" s="264">
        <v>0</v>
      </c>
      <c r="G155" s="264">
        <v>0</v>
      </c>
      <c r="H155" s="264">
        <v>0</v>
      </c>
      <c r="I155" s="264">
        <v>0</v>
      </c>
      <c r="J155" s="264">
        <v>0</v>
      </c>
      <c r="K155" s="264">
        <v>0</v>
      </c>
      <c r="L155" s="264">
        <v>0</v>
      </c>
      <c r="M155" s="264"/>
      <c r="N155" s="264"/>
      <c r="O155" s="294"/>
      <c r="P155" s="151"/>
    </row>
    <row r="156" spans="1:16" s="162" customFormat="1">
      <c r="A156" s="165" t="s">
        <v>369</v>
      </c>
      <c r="B156" s="189" t="s">
        <v>650</v>
      </c>
      <c r="C156" s="167" t="s">
        <v>476</v>
      </c>
      <c r="D156" s="168">
        <v>0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168">
        <v>0</v>
      </c>
      <c r="M156" s="168"/>
      <c r="N156" s="168"/>
      <c r="O156" s="176"/>
      <c r="P156" s="151"/>
    </row>
    <row r="157" spans="1:16" s="162" customFormat="1">
      <c r="A157" s="165" t="s">
        <v>370</v>
      </c>
      <c r="B157" s="189" t="s">
        <v>651</v>
      </c>
      <c r="C157" s="167" t="s">
        <v>476</v>
      </c>
      <c r="D157" s="168">
        <v>0</v>
      </c>
      <c r="E157" s="168">
        <v>0</v>
      </c>
      <c r="F157" s="168">
        <v>0</v>
      </c>
      <c r="G157" s="168"/>
      <c r="H157" s="168">
        <v>0</v>
      </c>
      <c r="I157" s="168"/>
      <c r="J157" s="168">
        <v>0</v>
      </c>
      <c r="K157" s="168">
        <v>0</v>
      </c>
      <c r="L157" s="168">
        <v>0</v>
      </c>
      <c r="M157" s="168"/>
      <c r="N157" s="168"/>
      <c r="O157" s="176"/>
      <c r="P157" s="151"/>
    </row>
    <row r="158" spans="1:16" s="162" customFormat="1">
      <c r="A158" s="165" t="s">
        <v>371</v>
      </c>
      <c r="B158" s="189" t="s">
        <v>652</v>
      </c>
      <c r="C158" s="167" t="s">
        <v>476</v>
      </c>
      <c r="D158" s="168">
        <v>0</v>
      </c>
      <c r="E158" s="168">
        <v>0</v>
      </c>
      <c r="F158" s="168">
        <v>0</v>
      </c>
      <c r="G158" s="168"/>
      <c r="H158" s="168">
        <v>0</v>
      </c>
      <c r="I158" s="168"/>
      <c r="J158" s="168">
        <v>0</v>
      </c>
      <c r="K158" s="168">
        <v>0</v>
      </c>
      <c r="L158" s="168">
        <v>0</v>
      </c>
      <c r="M158" s="168"/>
      <c r="N158" s="168"/>
      <c r="O158" s="176"/>
      <c r="P158" s="151"/>
    </row>
    <row r="159" spans="1:16" s="162" customFormat="1" ht="16.5" thickBot="1">
      <c r="A159" s="177" t="s">
        <v>372</v>
      </c>
      <c r="B159" s="189" t="s">
        <v>653</v>
      </c>
      <c r="C159" s="179" t="s">
        <v>476</v>
      </c>
      <c r="D159" s="183">
        <v>0</v>
      </c>
      <c r="E159" s="183">
        <v>0</v>
      </c>
      <c r="F159" s="183">
        <v>0</v>
      </c>
      <c r="G159" s="183"/>
      <c r="H159" s="183">
        <v>0</v>
      </c>
      <c r="I159" s="183"/>
      <c r="J159" s="183">
        <v>0</v>
      </c>
      <c r="K159" s="183">
        <v>0</v>
      </c>
      <c r="L159" s="183">
        <v>0</v>
      </c>
      <c r="M159" s="183"/>
      <c r="N159" s="183"/>
      <c r="O159" s="295"/>
      <c r="P159" s="151"/>
    </row>
    <row r="160" spans="1:16" s="162" customFormat="1">
      <c r="A160" s="248" t="s">
        <v>654</v>
      </c>
      <c r="B160" s="249" t="s">
        <v>564</v>
      </c>
      <c r="C160" s="250" t="s">
        <v>284</v>
      </c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92"/>
      <c r="P160" s="151"/>
    </row>
    <row r="161" spans="1:16" s="162" customFormat="1" ht="31.5">
      <c r="A161" s="165" t="s">
        <v>377</v>
      </c>
      <c r="B161" s="189" t="s">
        <v>655</v>
      </c>
      <c r="C161" s="167" t="s">
        <v>476</v>
      </c>
      <c r="D161" s="171">
        <f>D110+D106+D70</f>
        <v>3.9990000000000001</v>
      </c>
      <c r="E161" s="171">
        <f t="shared" ref="E161:L161" si="61">E110+E106+E70</f>
        <v>11.890999999999998</v>
      </c>
      <c r="F161" s="186">
        <f t="shared" si="61"/>
        <v>11.525999999999989</v>
      </c>
      <c r="G161" s="171">
        <f t="shared" si="61"/>
        <v>8.602999999999998</v>
      </c>
      <c r="H161" s="171">
        <f t="shared" si="61"/>
        <v>4.7810000000000183</v>
      </c>
      <c r="I161" s="171">
        <f t="shared" ref="I161:J161" si="62">I110+I106+I70</f>
        <v>8.9610000000000145</v>
      </c>
      <c r="J161" s="171">
        <f t="shared" si="62"/>
        <v>3.0130000000000035</v>
      </c>
      <c r="K161" s="171">
        <f t="shared" si="61"/>
        <v>12.007999999999994</v>
      </c>
      <c r="L161" s="171">
        <f t="shared" si="61"/>
        <v>12.007999999999994</v>
      </c>
      <c r="M161" s="173">
        <f t="shared" ref="M161" si="63">J161-F161</f>
        <v>-8.5129999999999857</v>
      </c>
      <c r="N161" s="174">
        <f t="shared" ref="N161" si="64">M161/F161</f>
        <v>-0.73859101162588869</v>
      </c>
      <c r="O161" s="287" t="s">
        <v>385</v>
      </c>
      <c r="P161" s="151"/>
    </row>
    <row r="162" spans="1:16" s="162" customFormat="1">
      <c r="A162" s="165" t="s">
        <v>378</v>
      </c>
      <c r="B162" s="189" t="s">
        <v>656</v>
      </c>
      <c r="C162" s="167" t="s">
        <v>476</v>
      </c>
      <c r="D162" s="168">
        <v>0</v>
      </c>
      <c r="E162" s="168">
        <v>0</v>
      </c>
      <c r="F162" s="168">
        <v>0</v>
      </c>
      <c r="G162" s="168"/>
      <c r="H162" s="168"/>
      <c r="I162" s="168"/>
      <c r="J162" s="168"/>
      <c r="K162" s="168">
        <v>0</v>
      </c>
      <c r="L162" s="168">
        <v>0</v>
      </c>
      <c r="M162" s="168"/>
      <c r="N162" s="168"/>
      <c r="O162" s="176"/>
      <c r="P162" s="151"/>
    </row>
    <row r="163" spans="1:16" s="162" customFormat="1">
      <c r="A163" s="165" t="s">
        <v>657</v>
      </c>
      <c r="B163" s="210" t="s">
        <v>658</v>
      </c>
      <c r="C163" s="167" t="s">
        <v>476</v>
      </c>
      <c r="D163" s="168">
        <v>0</v>
      </c>
      <c r="E163" s="168">
        <v>0</v>
      </c>
      <c r="F163" s="168">
        <v>0</v>
      </c>
      <c r="G163" s="168"/>
      <c r="H163" s="168"/>
      <c r="I163" s="168"/>
      <c r="J163" s="168"/>
      <c r="K163" s="168">
        <v>0</v>
      </c>
      <c r="L163" s="168">
        <v>0</v>
      </c>
      <c r="M163" s="168"/>
      <c r="N163" s="168"/>
      <c r="O163" s="176"/>
      <c r="P163" s="151"/>
    </row>
    <row r="164" spans="1:16" s="162" customFormat="1">
      <c r="A164" s="165" t="s">
        <v>379</v>
      </c>
      <c r="B164" s="189" t="s">
        <v>659</v>
      </c>
      <c r="C164" s="167" t="s">
        <v>476</v>
      </c>
      <c r="D164" s="168">
        <v>0</v>
      </c>
      <c r="E164" s="168">
        <v>0</v>
      </c>
      <c r="F164" s="168">
        <v>0</v>
      </c>
      <c r="G164" s="168"/>
      <c r="H164" s="168"/>
      <c r="I164" s="168"/>
      <c r="J164" s="168"/>
      <c r="K164" s="168">
        <v>0</v>
      </c>
      <c r="L164" s="168">
        <v>0</v>
      </c>
      <c r="M164" s="168"/>
      <c r="N164" s="168"/>
      <c r="O164" s="176"/>
      <c r="P164" s="151"/>
    </row>
    <row r="165" spans="1:16" s="162" customFormat="1">
      <c r="A165" s="190" t="s">
        <v>660</v>
      </c>
      <c r="B165" s="210" t="s">
        <v>661</v>
      </c>
      <c r="C165" s="167" t="s">
        <v>476</v>
      </c>
      <c r="D165" s="168">
        <v>0</v>
      </c>
      <c r="E165" s="168">
        <v>0</v>
      </c>
      <c r="F165" s="168">
        <v>0</v>
      </c>
      <c r="G165" s="168"/>
      <c r="H165" s="168"/>
      <c r="I165" s="168"/>
      <c r="J165" s="168"/>
      <c r="K165" s="168">
        <v>0</v>
      </c>
      <c r="L165" s="168">
        <v>0</v>
      </c>
      <c r="M165" s="168"/>
      <c r="N165" s="168"/>
      <c r="O165" s="176"/>
      <c r="P165" s="151"/>
    </row>
    <row r="166" spans="1:16" s="162" customFormat="1" ht="32.25" thickBot="1">
      <c r="A166" s="177" t="s">
        <v>380</v>
      </c>
      <c r="B166" s="201" t="s">
        <v>662</v>
      </c>
      <c r="C166" s="179" t="s">
        <v>284</v>
      </c>
      <c r="D166" s="168">
        <v>0</v>
      </c>
      <c r="E166" s="168">
        <v>0</v>
      </c>
      <c r="F166" s="168">
        <v>0</v>
      </c>
      <c r="G166" s="168"/>
      <c r="H166" s="168"/>
      <c r="I166" s="168"/>
      <c r="J166" s="168"/>
      <c r="K166" s="168">
        <v>0</v>
      </c>
      <c r="L166" s="168">
        <v>0</v>
      </c>
      <c r="M166" s="168"/>
      <c r="N166" s="168"/>
      <c r="O166" s="176"/>
      <c r="P166" s="151"/>
    </row>
    <row r="167" spans="1:16" s="162" customFormat="1" ht="19.5" thickBot="1">
      <c r="A167" s="419" t="s">
        <v>663</v>
      </c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1"/>
      <c r="P167" s="151"/>
    </row>
    <row r="168" spans="1:16" s="162" customFormat="1">
      <c r="A168" s="242" t="s">
        <v>664</v>
      </c>
      <c r="B168" s="243" t="s">
        <v>665</v>
      </c>
      <c r="C168" s="244" t="s">
        <v>476</v>
      </c>
      <c r="D168" s="265">
        <v>113.43</v>
      </c>
      <c r="E168" s="265">
        <v>107.86799999999999</v>
      </c>
      <c r="F168" s="245">
        <f>F174+F176+F185</f>
        <v>158.31705999999997</v>
      </c>
      <c r="G168" s="245">
        <f>G174+G176+G185</f>
        <v>79.92022</v>
      </c>
      <c r="H168" s="245">
        <f t="shared" ref="H168:L168" si="65">H174+H176+H185</f>
        <v>85.789959999999994</v>
      </c>
      <c r="I168" s="245">
        <f>I174+I176+I185</f>
        <v>112.48822</v>
      </c>
      <c r="J168" s="245">
        <f t="shared" ref="J168" si="66">J174+J176+J185</f>
        <v>80.587999999999994</v>
      </c>
      <c r="K168" s="245">
        <f t="shared" si="65"/>
        <v>158.31705999999997</v>
      </c>
      <c r="L168" s="245">
        <f t="shared" si="65"/>
        <v>158.31705999999997</v>
      </c>
      <c r="M168" s="285">
        <f t="shared" ref="M168" si="67">J168-F168</f>
        <v>-77.729059999999976</v>
      </c>
      <c r="N168" s="286">
        <f t="shared" ref="N168" si="68">M168/F168</f>
        <v>-0.49097084041353467</v>
      </c>
      <c r="O168" s="290" t="s">
        <v>385</v>
      </c>
      <c r="P168" s="151"/>
    </row>
    <row r="169" spans="1:16" s="162" customFormat="1">
      <c r="A169" s="165" t="s">
        <v>382</v>
      </c>
      <c r="B169" s="166" t="s">
        <v>478</v>
      </c>
      <c r="C169" s="167" t="s">
        <v>476</v>
      </c>
      <c r="D169" s="168">
        <v>0</v>
      </c>
      <c r="E169" s="168">
        <v>0</v>
      </c>
      <c r="F169" s="168">
        <v>0</v>
      </c>
      <c r="G169" s="168"/>
      <c r="H169" s="168">
        <v>0</v>
      </c>
      <c r="I169" s="168"/>
      <c r="J169" s="168">
        <v>0</v>
      </c>
      <c r="K169" s="168">
        <v>0</v>
      </c>
      <c r="L169" s="168">
        <v>0</v>
      </c>
      <c r="M169" s="168"/>
      <c r="N169" s="168"/>
      <c r="O169" s="176"/>
      <c r="P169" s="151"/>
    </row>
    <row r="170" spans="1:16" s="162" customFormat="1" ht="31.5">
      <c r="A170" s="165" t="s">
        <v>666</v>
      </c>
      <c r="B170" s="210" t="s">
        <v>480</v>
      </c>
      <c r="C170" s="167" t="s">
        <v>476</v>
      </c>
      <c r="D170" s="168">
        <v>0</v>
      </c>
      <c r="E170" s="168">
        <v>0</v>
      </c>
      <c r="F170" s="168">
        <v>0</v>
      </c>
      <c r="G170" s="168"/>
      <c r="H170" s="168">
        <v>0</v>
      </c>
      <c r="I170" s="168"/>
      <c r="J170" s="168">
        <v>0</v>
      </c>
      <c r="K170" s="168">
        <v>0</v>
      </c>
      <c r="L170" s="168">
        <v>0</v>
      </c>
      <c r="M170" s="168"/>
      <c r="N170" s="168"/>
      <c r="O170" s="176"/>
      <c r="P170" s="151"/>
    </row>
    <row r="171" spans="1:16" s="162" customFormat="1" ht="31.5">
      <c r="A171" s="165" t="s">
        <v>667</v>
      </c>
      <c r="B171" s="210" t="s">
        <v>482</v>
      </c>
      <c r="C171" s="167" t="s">
        <v>476</v>
      </c>
      <c r="D171" s="168">
        <v>0</v>
      </c>
      <c r="E171" s="168">
        <v>0</v>
      </c>
      <c r="F171" s="168">
        <v>0</v>
      </c>
      <c r="G171" s="168"/>
      <c r="H171" s="168">
        <v>0</v>
      </c>
      <c r="I171" s="168"/>
      <c r="J171" s="168">
        <v>0</v>
      </c>
      <c r="K171" s="168">
        <v>0</v>
      </c>
      <c r="L171" s="168">
        <v>0</v>
      </c>
      <c r="M171" s="274"/>
      <c r="N171" s="273"/>
      <c r="O171" s="176"/>
      <c r="P171" s="151"/>
    </row>
    <row r="172" spans="1:16" s="162" customFormat="1" ht="31.5">
      <c r="A172" s="165" t="s">
        <v>668</v>
      </c>
      <c r="B172" s="210" t="s">
        <v>484</v>
      </c>
      <c r="C172" s="167" t="s">
        <v>476</v>
      </c>
      <c r="D172" s="168">
        <v>0</v>
      </c>
      <c r="E172" s="168">
        <v>0</v>
      </c>
      <c r="F172" s="168">
        <v>0</v>
      </c>
      <c r="G172" s="168"/>
      <c r="H172" s="168">
        <v>0</v>
      </c>
      <c r="I172" s="168"/>
      <c r="J172" s="168">
        <v>0</v>
      </c>
      <c r="K172" s="168">
        <v>0</v>
      </c>
      <c r="L172" s="168">
        <v>0</v>
      </c>
      <c r="M172" s="168"/>
      <c r="N172" s="168"/>
      <c r="O172" s="176"/>
      <c r="P172" s="151"/>
    </row>
    <row r="173" spans="1:16" s="162" customFormat="1">
      <c r="A173" s="165" t="s">
        <v>383</v>
      </c>
      <c r="B173" s="166" t="s">
        <v>485</v>
      </c>
      <c r="C173" s="167" t="s">
        <v>476</v>
      </c>
      <c r="D173" s="168">
        <v>0</v>
      </c>
      <c r="E173" s="168">
        <v>0</v>
      </c>
      <c r="F173" s="168">
        <v>0</v>
      </c>
      <c r="G173" s="168"/>
      <c r="H173" s="168">
        <v>0</v>
      </c>
      <c r="I173" s="168"/>
      <c r="J173" s="168">
        <v>0</v>
      </c>
      <c r="K173" s="168">
        <v>0</v>
      </c>
      <c r="L173" s="168">
        <v>0</v>
      </c>
      <c r="M173" s="168"/>
      <c r="N173" s="168"/>
      <c r="O173" s="176"/>
      <c r="P173" s="151"/>
    </row>
    <row r="174" spans="1:16" s="162" customFormat="1">
      <c r="A174" s="165" t="s">
        <v>669</v>
      </c>
      <c r="B174" s="166" t="s">
        <v>487</v>
      </c>
      <c r="C174" s="167" t="s">
        <v>476</v>
      </c>
      <c r="D174" s="186">
        <f>D168-D176-D185</f>
        <v>110.50500000000001</v>
      </c>
      <c r="E174" s="186">
        <f>E168-E176-E185</f>
        <v>102.48299999999999</v>
      </c>
      <c r="F174" s="186">
        <f>F30*1.18</f>
        <v>153.70679999999999</v>
      </c>
      <c r="G174" s="186">
        <f>G30*1.18</f>
        <v>77.705359999999999</v>
      </c>
      <c r="H174" s="186">
        <v>83.698999999999998</v>
      </c>
      <c r="I174" s="186">
        <f>I30*1.18</f>
        <v>109.16416</v>
      </c>
      <c r="J174" s="186">
        <f>80.588-J176-J185</f>
        <v>77.963599999999985</v>
      </c>
      <c r="K174" s="186">
        <f t="shared" ref="K174:L174" si="69">K30*1.18</f>
        <v>153.70679999999999</v>
      </c>
      <c r="L174" s="186">
        <f t="shared" si="69"/>
        <v>153.70679999999999</v>
      </c>
      <c r="M174" s="173">
        <f t="shared" ref="M174:M176" si="70">J174-F174</f>
        <v>-75.743200000000002</v>
      </c>
      <c r="N174" s="174">
        <f t="shared" ref="N174:N176" si="71">M174/F174</f>
        <v>-0.49277715754930823</v>
      </c>
      <c r="O174" s="287" t="s">
        <v>385</v>
      </c>
      <c r="P174" s="151"/>
    </row>
    <row r="175" spans="1:16" s="162" customFormat="1">
      <c r="A175" s="165" t="s">
        <v>670</v>
      </c>
      <c r="B175" s="166" t="s">
        <v>488</v>
      </c>
      <c r="C175" s="167" t="s">
        <v>476</v>
      </c>
      <c r="D175" s="168">
        <v>0</v>
      </c>
      <c r="E175" s="168">
        <v>0</v>
      </c>
      <c r="F175" s="168">
        <v>0</v>
      </c>
      <c r="G175" s="168"/>
      <c r="H175" s="168">
        <v>0</v>
      </c>
      <c r="I175" s="168"/>
      <c r="J175" s="168">
        <v>0</v>
      </c>
      <c r="K175" s="168">
        <v>0</v>
      </c>
      <c r="L175" s="168">
        <v>0</v>
      </c>
      <c r="M175" s="173">
        <f t="shared" si="70"/>
        <v>0</v>
      </c>
      <c r="N175" s="174"/>
      <c r="O175" s="287" t="s">
        <v>385</v>
      </c>
      <c r="P175" s="151"/>
    </row>
    <row r="176" spans="1:16" s="162" customFormat="1">
      <c r="A176" s="165" t="s">
        <v>671</v>
      </c>
      <c r="B176" s="166" t="s">
        <v>490</v>
      </c>
      <c r="C176" s="167" t="s">
        <v>476</v>
      </c>
      <c r="D176" s="171">
        <v>0.20300000000000001</v>
      </c>
      <c r="E176" s="171">
        <v>0.53900000000000003</v>
      </c>
      <c r="F176" s="186">
        <f>F32*1.18</f>
        <v>0.29499999999999998</v>
      </c>
      <c r="G176" s="186">
        <f>G32*1.18</f>
        <v>0.14041999999999999</v>
      </c>
      <c r="H176" s="186">
        <f t="shared" ref="H176:L176" si="72">H32*1.18</f>
        <v>0.1593</v>
      </c>
      <c r="I176" s="186">
        <f>I32*1.18</f>
        <v>0.21239999999999998</v>
      </c>
      <c r="J176" s="186">
        <f>J32*1.2</f>
        <v>0.1152</v>
      </c>
      <c r="K176" s="186">
        <f t="shared" si="72"/>
        <v>0.29499999999999998</v>
      </c>
      <c r="L176" s="186">
        <f t="shared" si="72"/>
        <v>0.29499999999999998</v>
      </c>
      <c r="M176" s="173">
        <f t="shared" si="70"/>
        <v>-0.17979999999999999</v>
      </c>
      <c r="N176" s="174">
        <f t="shared" si="71"/>
        <v>-0.60949152542372875</v>
      </c>
      <c r="O176" s="287" t="s">
        <v>385</v>
      </c>
      <c r="P176" s="151"/>
    </row>
    <row r="177" spans="1:16" s="162" customFormat="1">
      <c r="A177" s="165" t="s">
        <v>672</v>
      </c>
      <c r="B177" s="166" t="s">
        <v>491</v>
      </c>
      <c r="C177" s="167" t="s">
        <v>476</v>
      </c>
      <c r="D177" s="168">
        <v>0</v>
      </c>
      <c r="E177" s="168">
        <v>0</v>
      </c>
      <c r="F177" s="168">
        <v>0</v>
      </c>
      <c r="G177" s="168"/>
      <c r="H177" s="168">
        <v>0</v>
      </c>
      <c r="I177" s="168"/>
      <c r="J177" s="168">
        <v>0</v>
      </c>
      <c r="K177" s="168">
        <v>0</v>
      </c>
      <c r="L177" s="168">
        <v>0</v>
      </c>
      <c r="M177" s="168"/>
      <c r="N177" s="168"/>
      <c r="O177" s="176"/>
      <c r="P177" s="151"/>
    </row>
    <row r="178" spans="1:16" s="162" customFormat="1">
      <c r="A178" s="165" t="s">
        <v>673</v>
      </c>
      <c r="B178" s="166" t="s">
        <v>493</v>
      </c>
      <c r="C178" s="167" t="s">
        <v>476</v>
      </c>
      <c r="D178" s="168">
        <v>0</v>
      </c>
      <c r="E178" s="168">
        <v>0</v>
      </c>
      <c r="F178" s="168">
        <v>0</v>
      </c>
      <c r="G178" s="168"/>
      <c r="H178" s="168">
        <v>0</v>
      </c>
      <c r="I178" s="168"/>
      <c r="J178" s="168">
        <v>0</v>
      </c>
      <c r="K178" s="168">
        <v>0</v>
      </c>
      <c r="L178" s="168">
        <v>0</v>
      </c>
      <c r="M178" s="168"/>
      <c r="N178" s="168"/>
      <c r="O178" s="176"/>
      <c r="P178" s="151"/>
    </row>
    <row r="179" spans="1:16" s="162" customFormat="1" ht="31.5">
      <c r="A179" s="165" t="s">
        <v>674</v>
      </c>
      <c r="B179" s="210" t="s">
        <v>495</v>
      </c>
      <c r="C179" s="167" t="s">
        <v>476</v>
      </c>
      <c r="D179" s="168">
        <v>0</v>
      </c>
      <c r="E179" s="168">
        <v>0</v>
      </c>
      <c r="F179" s="168">
        <v>0</v>
      </c>
      <c r="G179" s="168"/>
      <c r="H179" s="168">
        <v>0</v>
      </c>
      <c r="I179" s="168"/>
      <c r="J179" s="168">
        <v>0</v>
      </c>
      <c r="K179" s="168">
        <v>0</v>
      </c>
      <c r="L179" s="168">
        <v>0</v>
      </c>
      <c r="M179" s="168"/>
      <c r="N179" s="168"/>
      <c r="O179" s="176"/>
      <c r="P179" s="151"/>
    </row>
    <row r="180" spans="1:16" s="162" customFormat="1">
      <c r="A180" s="165" t="s">
        <v>675</v>
      </c>
      <c r="B180" s="166" t="s">
        <v>497</v>
      </c>
      <c r="C180" s="167" t="s">
        <v>476</v>
      </c>
      <c r="D180" s="168">
        <v>0</v>
      </c>
      <c r="E180" s="168">
        <v>0</v>
      </c>
      <c r="F180" s="168">
        <v>0</v>
      </c>
      <c r="G180" s="168"/>
      <c r="H180" s="168">
        <v>0</v>
      </c>
      <c r="I180" s="168"/>
      <c r="J180" s="168">
        <v>0</v>
      </c>
      <c r="K180" s="168">
        <v>0</v>
      </c>
      <c r="L180" s="168">
        <v>0</v>
      </c>
      <c r="M180" s="168"/>
      <c r="N180" s="168"/>
      <c r="O180" s="176"/>
      <c r="P180" s="151"/>
    </row>
    <row r="181" spans="1:16" s="162" customFormat="1">
      <c r="A181" s="165" t="s">
        <v>676</v>
      </c>
      <c r="B181" s="166" t="s">
        <v>499</v>
      </c>
      <c r="C181" s="167" t="s">
        <v>476</v>
      </c>
      <c r="D181" s="168">
        <v>0</v>
      </c>
      <c r="E181" s="168">
        <v>0</v>
      </c>
      <c r="F181" s="168">
        <v>0</v>
      </c>
      <c r="G181" s="168"/>
      <c r="H181" s="168">
        <v>0</v>
      </c>
      <c r="I181" s="168"/>
      <c r="J181" s="168">
        <v>0</v>
      </c>
      <c r="K181" s="168">
        <v>0</v>
      </c>
      <c r="L181" s="168">
        <v>0</v>
      </c>
      <c r="M181" s="168"/>
      <c r="N181" s="168"/>
      <c r="O181" s="176"/>
      <c r="P181" s="151"/>
    </row>
    <row r="182" spans="1:16" s="162" customFormat="1" ht="31.5">
      <c r="A182" s="165" t="s">
        <v>677</v>
      </c>
      <c r="B182" s="189" t="s">
        <v>678</v>
      </c>
      <c r="C182" s="167" t="s">
        <v>476</v>
      </c>
      <c r="D182" s="168">
        <v>0</v>
      </c>
      <c r="E182" s="168">
        <v>0</v>
      </c>
      <c r="F182" s="168">
        <v>0</v>
      </c>
      <c r="G182" s="168"/>
      <c r="H182" s="168">
        <v>0</v>
      </c>
      <c r="I182" s="168"/>
      <c r="J182" s="168">
        <v>0</v>
      </c>
      <c r="K182" s="168">
        <v>0</v>
      </c>
      <c r="L182" s="168">
        <v>0</v>
      </c>
      <c r="M182" s="168"/>
      <c r="N182" s="168"/>
      <c r="O182" s="176"/>
      <c r="P182" s="151"/>
    </row>
    <row r="183" spans="1:16" s="162" customFormat="1">
      <c r="A183" s="165" t="s">
        <v>679</v>
      </c>
      <c r="B183" s="210" t="s">
        <v>680</v>
      </c>
      <c r="C183" s="167" t="s">
        <v>476</v>
      </c>
      <c r="D183" s="168">
        <v>0</v>
      </c>
      <c r="E183" s="168">
        <v>0</v>
      </c>
      <c r="F183" s="168">
        <v>0</v>
      </c>
      <c r="G183" s="168"/>
      <c r="H183" s="168">
        <v>0</v>
      </c>
      <c r="I183" s="168"/>
      <c r="J183" s="168">
        <v>0</v>
      </c>
      <c r="K183" s="168">
        <v>0</v>
      </c>
      <c r="L183" s="168">
        <v>0</v>
      </c>
      <c r="M183" s="168"/>
      <c r="N183" s="168"/>
      <c r="O183" s="176"/>
      <c r="P183" s="151"/>
    </row>
    <row r="184" spans="1:16" s="162" customFormat="1">
      <c r="A184" s="165" t="s">
        <v>681</v>
      </c>
      <c r="B184" s="210" t="s">
        <v>682</v>
      </c>
      <c r="C184" s="167" t="s">
        <v>476</v>
      </c>
      <c r="D184" s="168">
        <v>0</v>
      </c>
      <c r="E184" s="168">
        <v>0</v>
      </c>
      <c r="F184" s="168">
        <v>0</v>
      </c>
      <c r="G184" s="168"/>
      <c r="H184" s="168">
        <v>0</v>
      </c>
      <c r="I184" s="168"/>
      <c r="J184" s="168">
        <v>0</v>
      </c>
      <c r="K184" s="168">
        <v>0</v>
      </c>
      <c r="L184" s="168">
        <v>0</v>
      </c>
      <c r="M184" s="168"/>
      <c r="N184" s="168"/>
      <c r="O184" s="176"/>
      <c r="P184" s="151"/>
    </row>
    <row r="185" spans="1:16" s="162" customFormat="1">
      <c r="A185" s="165" t="s">
        <v>683</v>
      </c>
      <c r="B185" s="166" t="s">
        <v>501</v>
      </c>
      <c r="C185" s="167" t="s">
        <v>476</v>
      </c>
      <c r="D185" s="186">
        <v>2.722</v>
      </c>
      <c r="E185" s="171">
        <v>4.8460000000000001</v>
      </c>
      <c r="F185" s="186">
        <f>F38*1.18</f>
        <v>4.3152599999999994</v>
      </c>
      <c r="G185" s="186">
        <f>G38*1.18</f>
        <v>2.0744400000000001</v>
      </c>
      <c r="H185" s="186">
        <f t="shared" ref="H185:L185" si="73">H38*1.18</f>
        <v>1.9316599999999999</v>
      </c>
      <c r="I185" s="186">
        <f>I38*1.18</f>
        <v>3.1116599999999996</v>
      </c>
      <c r="J185" s="186">
        <f>J38*1.2</f>
        <v>2.5092000000000003</v>
      </c>
      <c r="K185" s="186">
        <f t="shared" si="73"/>
        <v>4.3152599999999994</v>
      </c>
      <c r="L185" s="186">
        <f t="shared" si="73"/>
        <v>4.3152599999999994</v>
      </c>
      <c r="M185" s="173">
        <f t="shared" ref="M185:M186" si="74">J185-F185</f>
        <v>-1.8060599999999991</v>
      </c>
      <c r="N185" s="174">
        <f t="shared" ref="N185:N186" si="75">M185/F185</f>
        <v>-0.41852866339455774</v>
      </c>
      <c r="O185" s="287" t="s">
        <v>385</v>
      </c>
      <c r="P185" s="151"/>
    </row>
    <row r="186" spans="1:16" s="162" customFormat="1">
      <c r="A186" s="254" t="s">
        <v>684</v>
      </c>
      <c r="B186" s="255" t="s">
        <v>685</v>
      </c>
      <c r="C186" s="256" t="s">
        <v>476</v>
      </c>
      <c r="D186" s="260">
        <v>103.241</v>
      </c>
      <c r="E186" s="257">
        <v>101.315</v>
      </c>
      <c r="F186" s="260">
        <f>SUM(F191:F203)-F198</f>
        <v>144.00651999999999</v>
      </c>
      <c r="G186" s="260">
        <f>SUM(G191:G203)-G198</f>
        <v>73.081000000000003</v>
      </c>
      <c r="H186" s="260">
        <f t="shared" ref="H186:L186" si="76">SUM(H191:H203)-H198</f>
        <v>81.346000000000004</v>
      </c>
      <c r="I186" s="260">
        <f>SUM(I191:I203)-I198</f>
        <v>109.44437999999998</v>
      </c>
      <c r="J186" s="260">
        <f t="shared" ref="J186" si="77">SUM(J191:J203)-J198</f>
        <v>74.921999999999997</v>
      </c>
      <c r="K186" s="260">
        <f t="shared" si="76"/>
        <v>147.59488000000005</v>
      </c>
      <c r="L186" s="260">
        <f t="shared" si="76"/>
        <v>147.59488000000005</v>
      </c>
      <c r="M186" s="285">
        <f t="shared" si="74"/>
        <v>-69.084519999999998</v>
      </c>
      <c r="N186" s="286">
        <f t="shared" si="75"/>
        <v>-0.47973188991720656</v>
      </c>
      <c r="O186" s="290" t="s">
        <v>385</v>
      </c>
      <c r="P186" s="151"/>
    </row>
    <row r="187" spans="1:16" s="162" customFormat="1">
      <c r="A187" s="165" t="s">
        <v>686</v>
      </c>
      <c r="B187" s="189" t="s">
        <v>687</v>
      </c>
      <c r="C187" s="167" t="s">
        <v>476</v>
      </c>
      <c r="D187" s="168">
        <v>0</v>
      </c>
      <c r="E187" s="168">
        <v>0</v>
      </c>
      <c r="F187" s="168">
        <v>0</v>
      </c>
      <c r="G187" s="168"/>
      <c r="H187" s="168"/>
      <c r="I187" s="168"/>
      <c r="J187" s="168"/>
      <c r="K187" s="168">
        <v>0</v>
      </c>
      <c r="L187" s="168">
        <v>0</v>
      </c>
      <c r="M187" s="168"/>
      <c r="N187" s="168"/>
      <c r="O187" s="176"/>
      <c r="P187" s="151"/>
    </row>
    <row r="188" spans="1:16" s="162" customFormat="1">
      <c r="A188" s="165" t="s">
        <v>688</v>
      </c>
      <c r="B188" s="189" t="s">
        <v>689</v>
      </c>
      <c r="C188" s="167" t="s">
        <v>476</v>
      </c>
      <c r="D188" s="168">
        <v>0</v>
      </c>
      <c r="E188" s="168">
        <v>0</v>
      </c>
      <c r="F188" s="168">
        <v>0</v>
      </c>
      <c r="G188" s="168"/>
      <c r="H188" s="168"/>
      <c r="I188" s="168"/>
      <c r="J188" s="168"/>
      <c r="K188" s="168">
        <v>0</v>
      </c>
      <c r="L188" s="168">
        <v>0</v>
      </c>
      <c r="M188" s="168"/>
      <c r="N188" s="168"/>
      <c r="O188" s="176"/>
      <c r="P188" s="151"/>
    </row>
    <row r="189" spans="1:16" s="162" customFormat="1">
      <c r="A189" s="165" t="s">
        <v>690</v>
      </c>
      <c r="B189" s="210" t="s">
        <v>691</v>
      </c>
      <c r="C189" s="167" t="s">
        <v>476</v>
      </c>
      <c r="D189" s="168">
        <v>0</v>
      </c>
      <c r="E189" s="168">
        <v>0</v>
      </c>
      <c r="F189" s="168">
        <v>0</v>
      </c>
      <c r="G189" s="168"/>
      <c r="H189" s="168"/>
      <c r="I189" s="168"/>
      <c r="J189" s="168"/>
      <c r="K189" s="168">
        <v>0</v>
      </c>
      <c r="L189" s="168">
        <v>0</v>
      </c>
      <c r="M189" s="168"/>
      <c r="N189" s="168"/>
      <c r="O189" s="176"/>
      <c r="P189" s="151"/>
    </row>
    <row r="190" spans="1:16" s="162" customFormat="1">
      <c r="A190" s="165" t="s">
        <v>692</v>
      </c>
      <c r="B190" s="210" t="s">
        <v>693</v>
      </c>
      <c r="C190" s="167" t="s">
        <v>476</v>
      </c>
      <c r="D190" s="168">
        <v>0</v>
      </c>
      <c r="E190" s="168">
        <v>0</v>
      </c>
      <c r="F190" s="168">
        <v>0</v>
      </c>
      <c r="G190" s="168"/>
      <c r="H190" s="168"/>
      <c r="I190" s="168"/>
      <c r="J190" s="168"/>
      <c r="K190" s="168">
        <v>0</v>
      </c>
      <c r="L190" s="168">
        <v>0</v>
      </c>
      <c r="M190" s="168"/>
      <c r="N190" s="168"/>
      <c r="O190" s="176"/>
      <c r="P190" s="151"/>
    </row>
    <row r="191" spans="1:16" s="162" customFormat="1">
      <c r="A191" s="165" t="s">
        <v>694</v>
      </c>
      <c r="B191" s="210" t="s">
        <v>695</v>
      </c>
      <c r="C191" s="167" t="s">
        <v>476</v>
      </c>
      <c r="D191" s="186">
        <v>29.605</v>
      </c>
      <c r="E191" s="171">
        <v>12.419</v>
      </c>
      <c r="F191" s="186">
        <f>F58*1.18</f>
        <v>42.641660000000002</v>
      </c>
      <c r="G191" s="186">
        <f>G58*1.18</f>
        <v>17.125339999999998</v>
      </c>
      <c r="H191" s="186">
        <v>25.218</v>
      </c>
      <c r="I191" s="186">
        <f>I58*1.18</f>
        <v>24.265519999999999</v>
      </c>
      <c r="J191" s="186">
        <v>27.440999999999999</v>
      </c>
      <c r="K191" s="186">
        <f t="shared" ref="K191:L191" si="78">K58*1.18</f>
        <v>34.729759999999999</v>
      </c>
      <c r="L191" s="186">
        <f t="shared" si="78"/>
        <v>34.729759999999999</v>
      </c>
      <c r="M191" s="173">
        <f t="shared" ref="M191" si="79">J191-F191</f>
        <v>-15.200660000000003</v>
      </c>
      <c r="N191" s="174">
        <f t="shared" ref="N191" si="80">M191/F191</f>
        <v>-0.35647439616562776</v>
      </c>
      <c r="O191" s="287" t="s">
        <v>385</v>
      </c>
      <c r="P191" s="151"/>
    </row>
    <row r="192" spans="1:16" s="162" customFormat="1" ht="31.5">
      <c r="A192" s="165" t="s">
        <v>696</v>
      </c>
      <c r="B192" s="189" t="s">
        <v>697</v>
      </c>
      <c r="C192" s="167" t="s">
        <v>476</v>
      </c>
      <c r="D192" s="168">
        <v>0</v>
      </c>
      <c r="E192" s="168">
        <v>0</v>
      </c>
      <c r="F192" s="168">
        <v>0</v>
      </c>
      <c r="G192" s="168"/>
      <c r="H192" s="168"/>
      <c r="I192" s="168"/>
      <c r="J192" s="168"/>
      <c r="K192" s="168">
        <v>0</v>
      </c>
      <c r="L192" s="168"/>
      <c r="M192" s="168"/>
      <c r="N192" s="168"/>
      <c r="O192" s="296"/>
      <c r="P192" s="151"/>
    </row>
    <row r="193" spans="1:16" s="162" customFormat="1" ht="31.5">
      <c r="A193" s="165" t="s">
        <v>698</v>
      </c>
      <c r="B193" s="189" t="s">
        <v>699</v>
      </c>
      <c r="C193" s="167" t="s">
        <v>476</v>
      </c>
      <c r="D193" s="186">
        <v>6.2569999999999997</v>
      </c>
      <c r="E193" s="171">
        <v>5.8109999999999999</v>
      </c>
      <c r="F193" s="186">
        <f>F65*1.18</f>
        <v>6.9336799999999998</v>
      </c>
      <c r="G193" s="186">
        <f>G65*1.18</f>
        <v>10.058319999999998</v>
      </c>
      <c r="H193" s="186">
        <v>12.023999999999999</v>
      </c>
      <c r="I193" s="186">
        <f>I65*1.18</f>
        <v>10.876060000000001</v>
      </c>
      <c r="J193" s="186">
        <v>3.931</v>
      </c>
      <c r="K193" s="186">
        <f t="shared" ref="K193:L193" si="81">K65*1.18</f>
        <v>12.374659999999999</v>
      </c>
      <c r="L193" s="186">
        <f t="shared" si="81"/>
        <v>12.374659999999999</v>
      </c>
      <c r="M193" s="173">
        <f t="shared" ref="M193:M203" si="82">J193-F193</f>
        <v>-3.0026799999999998</v>
      </c>
      <c r="N193" s="174">
        <f t="shared" ref="N193:N203" si="83">M193/F193</f>
        <v>-0.43305719329418141</v>
      </c>
      <c r="O193" s="287" t="s">
        <v>385</v>
      </c>
      <c r="P193" s="151"/>
    </row>
    <row r="194" spans="1:16" s="162" customFormat="1">
      <c r="A194" s="165" t="s">
        <v>700</v>
      </c>
      <c r="B194" s="189" t="s">
        <v>701</v>
      </c>
      <c r="C194" s="167" t="s">
        <v>476</v>
      </c>
      <c r="D194" s="168">
        <v>0</v>
      </c>
      <c r="E194" s="168">
        <v>0</v>
      </c>
      <c r="F194" s="168">
        <v>0</v>
      </c>
      <c r="G194" s="168"/>
      <c r="H194" s="168"/>
      <c r="I194" s="168"/>
      <c r="J194" s="168"/>
      <c r="K194" s="168">
        <v>0</v>
      </c>
      <c r="L194" s="168"/>
      <c r="M194" s="173">
        <f t="shared" si="82"/>
        <v>0</v>
      </c>
      <c r="N194" s="174"/>
      <c r="O194" s="296"/>
      <c r="P194" s="151"/>
    </row>
    <row r="195" spans="1:16" s="162" customFormat="1">
      <c r="A195" s="165" t="s">
        <v>702</v>
      </c>
      <c r="B195" s="189" t="s">
        <v>703</v>
      </c>
      <c r="C195" s="167" t="s">
        <v>476</v>
      </c>
      <c r="D195" s="186">
        <v>19.738</v>
      </c>
      <c r="E195" s="186">
        <v>20.981999999999999</v>
      </c>
      <c r="F195" s="171">
        <v>25.306999999999999</v>
      </c>
      <c r="G195" s="171">
        <v>12.618</v>
      </c>
      <c r="H195" s="171">
        <v>13.728999999999999</v>
      </c>
      <c r="I195" s="186">
        <v>18.25</v>
      </c>
      <c r="J195" s="171">
        <f>8.024+8.557</f>
        <v>16.581</v>
      </c>
      <c r="K195" s="186">
        <f>F195*1.04</f>
        <v>26.319279999999999</v>
      </c>
      <c r="L195" s="186">
        <f>K195</f>
        <v>26.319279999999999</v>
      </c>
      <c r="M195" s="173">
        <f t="shared" si="82"/>
        <v>-8.7259999999999991</v>
      </c>
      <c r="N195" s="174">
        <f t="shared" si="83"/>
        <v>-0.34480578496068282</v>
      </c>
      <c r="O195" s="287" t="s">
        <v>385</v>
      </c>
      <c r="P195" s="151"/>
    </row>
    <row r="196" spans="1:16" s="162" customFormat="1">
      <c r="A196" s="165" t="s">
        <v>704</v>
      </c>
      <c r="B196" s="189" t="s">
        <v>705</v>
      </c>
      <c r="C196" s="167" t="s">
        <v>476</v>
      </c>
      <c r="D196" s="186">
        <v>6.8940000000000001</v>
      </c>
      <c r="E196" s="171">
        <v>7.0270000000000001</v>
      </c>
      <c r="F196" s="186">
        <v>7.5919999999999996</v>
      </c>
      <c r="G196" s="171">
        <v>3.786</v>
      </c>
      <c r="H196" s="186">
        <v>3.6509999999999998</v>
      </c>
      <c r="I196" s="171">
        <v>5.4850000000000003</v>
      </c>
      <c r="J196" s="186">
        <f>2.828+0.806</f>
        <v>3.6339999999999999</v>
      </c>
      <c r="K196" s="186">
        <f>F196*1.04</f>
        <v>7.8956799999999996</v>
      </c>
      <c r="L196" s="186">
        <f t="shared" ref="L196" si="84">K196</f>
        <v>7.8956799999999996</v>
      </c>
      <c r="M196" s="173">
        <f t="shared" si="82"/>
        <v>-3.9579999999999997</v>
      </c>
      <c r="N196" s="174">
        <f t="shared" si="83"/>
        <v>-0.5213382507903056</v>
      </c>
      <c r="O196" s="287" t="s">
        <v>385</v>
      </c>
      <c r="P196" s="151"/>
    </row>
    <row r="197" spans="1:16" s="162" customFormat="1">
      <c r="A197" s="165" t="s">
        <v>706</v>
      </c>
      <c r="B197" s="189" t="s">
        <v>707</v>
      </c>
      <c r="C197" s="167" t="s">
        <v>476</v>
      </c>
      <c r="D197" s="186">
        <f>19.258-D196</f>
        <v>12.363999999999999</v>
      </c>
      <c r="E197" s="171">
        <f>18.846-E196</f>
        <v>11.818999999999999</v>
      </c>
      <c r="F197" s="186">
        <f>F71+F198+15-0.404</f>
        <v>17.235499999999998</v>
      </c>
      <c r="G197" s="186">
        <f>G71+G198+9</f>
        <v>10.668800000000001</v>
      </c>
      <c r="H197" s="186">
        <v>10.727</v>
      </c>
      <c r="I197" s="186">
        <f>I71+I198+9+5</f>
        <v>15.698800000000002</v>
      </c>
      <c r="J197" s="186">
        <f>4.245+3.174</f>
        <v>7.4190000000000005</v>
      </c>
      <c r="K197" s="186">
        <f>K71+K198+15</f>
        <v>17.459</v>
      </c>
      <c r="L197" s="186">
        <f>K197</f>
        <v>17.459</v>
      </c>
      <c r="M197" s="173">
        <f t="shared" si="82"/>
        <v>-9.8164999999999978</v>
      </c>
      <c r="N197" s="174">
        <f t="shared" si="83"/>
        <v>-0.56955121696498501</v>
      </c>
      <c r="O197" s="287" t="s">
        <v>385</v>
      </c>
      <c r="P197" s="151"/>
    </row>
    <row r="198" spans="1:16" s="162" customFormat="1">
      <c r="A198" s="165" t="s">
        <v>708</v>
      </c>
      <c r="B198" s="210" t="s">
        <v>709</v>
      </c>
      <c r="C198" s="167" t="s">
        <v>476</v>
      </c>
      <c r="D198" s="171">
        <v>0.188</v>
      </c>
      <c r="E198" s="171">
        <v>8.0000000000000002E-3</v>
      </c>
      <c r="F198" s="186">
        <f>F125</f>
        <v>2.1244999999999998</v>
      </c>
      <c r="G198" s="186">
        <f>G125</f>
        <v>1.5038000000000002</v>
      </c>
      <c r="H198" s="186">
        <v>2.5289999999999999</v>
      </c>
      <c r="I198" s="186">
        <f>I125</f>
        <v>1.4488000000000014</v>
      </c>
      <c r="J198" s="186">
        <f>0.712+0.605</f>
        <v>1.3169999999999999</v>
      </c>
      <c r="K198" s="186">
        <f t="shared" ref="K198:L198" si="85">K125</f>
        <v>2.1469999999999998</v>
      </c>
      <c r="L198" s="186">
        <f t="shared" si="85"/>
        <v>2.1469999999999998</v>
      </c>
      <c r="M198" s="173">
        <f t="shared" si="82"/>
        <v>-0.80749999999999988</v>
      </c>
      <c r="N198" s="174">
        <f t="shared" si="83"/>
        <v>-0.38008943280771945</v>
      </c>
      <c r="O198" s="287" t="s">
        <v>385</v>
      </c>
      <c r="P198" s="151"/>
    </row>
    <row r="199" spans="1:16" s="162" customFormat="1">
      <c r="A199" s="165" t="s">
        <v>710</v>
      </c>
      <c r="B199" s="189" t="s">
        <v>711</v>
      </c>
      <c r="C199" s="167" t="s">
        <v>476</v>
      </c>
      <c r="D199" s="171">
        <v>17.713000000000001</v>
      </c>
      <c r="E199" s="186">
        <v>4.59</v>
      </c>
      <c r="F199" s="186">
        <f>F61*1.18</f>
        <v>8.3933400000000002</v>
      </c>
      <c r="G199" s="186">
        <f>G61*1.18</f>
        <v>2.3895</v>
      </c>
      <c r="H199" s="186">
        <v>2.2290000000000001</v>
      </c>
      <c r="I199" s="186">
        <f>I61*1.18</f>
        <v>5.3395000000000001</v>
      </c>
      <c r="J199" s="186">
        <f>1.607+3.376</f>
        <v>4.9829999999999997</v>
      </c>
      <c r="K199" s="186">
        <f t="shared" ref="K199:L199" si="86">K61*1.18</f>
        <v>7.7596799999999995</v>
      </c>
      <c r="L199" s="186">
        <f t="shared" si="86"/>
        <v>7.7596799999999995</v>
      </c>
      <c r="M199" s="173">
        <f t="shared" si="82"/>
        <v>-3.4103400000000006</v>
      </c>
      <c r="N199" s="174">
        <f t="shared" si="83"/>
        <v>-0.40631500689832661</v>
      </c>
      <c r="O199" s="287" t="s">
        <v>385</v>
      </c>
      <c r="P199" s="151"/>
    </row>
    <row r="200" spans="1:16" s="162" customFormat="1">
      <c r="A200" s="165" t="s">
        <v>712</v>
      </c>
      <c r="B200" s="189" t="s">
        <v>713</v>
      </c>
      <c r="C200" s="167" t="s">
        <v>476</v>
      </c>
      <c r="D200" s="171">
        <v>0.91700000000000004</v>
      </c>
      <c r="E200" s="171">
        <v>0.82299999999999995</v>
      </c>
      <c r="F200" s="186">
        <f>F68*1.18</f>
        <v>1.04312</v>
      </c>
      <c r="G200" s="186">
        <f>G68*1.18</f>
        <v>0.27139999999999997</v>
      </c>
      <c r="H200" s="186">
        <v>0.85799999999999998</v>
      </c>
      <c r="I200" s="186">
        <f>I68*1.18</f>
        <v>0.98647999999999991</v>
      </c>
      <c r="J200" s="186">
        <f>0.722+0.816</f>
        <v>1.5379999999999998</v>
      </c>
      <c r="K200" s="186">
        <f t="shared" ref="K200:L200" si="87">K68*1.18</f>
        <v>1.04312</v>
      </c>
      <c r="L200" s="186">
        <f t="shared" si="87"/>
        <v>1.04312</v>
      </c>
      <c r="M200" s="173">
        <f t="shared" si="82"/>
        <v>0.49487999999999976</v>
      </c>
      <c r="N200" s="174">
        <f t="shared" si="83"/>
        <v>0.47442288519058184</v>
      </c>
      <c r="O200" s="287" t="s">
        <v>385</v>
      </c>
      <c r="P200" s="151"/>
    </row>
    <row r="201" spans="1:16" s="162" customFormat="1">
      <c r="A201" s="165" t="s">
        <v>714</v>
      </c>
      <c r="B201" s="189" t="s">
        <v>715</v>
      </c>
      <c r="C201" s="167" t="s">
        <v>476</v>
      </c>
      <c r="D201" s="171">
        <v>2.2320000000000002</v>
      </c>
      <c r="E201" s="171">
        <v>2.2349999999999999</v>
      </c>
      <c r="F201" s="186">
        <f>F76*1.18</f>
        <v>6.9313200000000004</v>
      </c>
      <c r="G201" s="186">
        <f>G76*1.18</f>
        <v>2.6278599999999996</v>
      </c>
      <c r="H201" s="186">
        <v>2.105</v>
      </c>
      <c r="I201" s="186">
        <f>I76*1.18</f>
        <v>3.9411999999999998</v>
      </c>
      <c r="J201" s="186">
        <f>0.718+1.416</f>
        <v>2.1339999999999999</v>
      </c>
      <c r="K201" s="186">
        <f t="shared" ref="K201:L201" si="88">K76*1.18</f>
        <v>5.2545400000000004</v>
      </c>
      <c r="L201" s="186">
        <f t="shared" si="88"/>
        <v>5.2545400000000004</v>
      </c>
      <c r="M201" s="173">
        <f t="shared" si="82"/>
        <v>-4.7973200000000009</v>
      </c>
      <c r="N201" s="174">
        <f t="shared" si="83"/>
        <v>-0.69212213546626045</v>
      </c>
      <c r="O201" s="287" t="s">
        <v>385</v>
      </c>
      <c r="P201" s="151"/>
    </row>
    <row r="202" spans="1:16" s="162" customFormat="1" ht="31.5">
      <c r="A202" s="165" t="s">
        <v>716</v>
      </c>
      <c r="B202" s="189" t="s">
        <v>717</v>
      </c>
      <c r="C202" s="167" t="s">
        <v>476</v>
      </c>
      <c r="D202" s="168">
        <v>0</v>
      </c>
      <c r="E202" s="168">
        <v>0</v>
      </c>
      <c r="F202" s="168">
        <v>0</v>
      </c>
      <c r="G202" s="168"/>
      <c r="H202" s="168"/>
      <c r="I202" s="168"/>
      <c r="J202" s="168"/>
      <c r="K202" s="168">
        <v>0</v>
      </c>
      <c r="L202" s="168">
        <v>0</v>
      </c>
      <c r="M202" s="173">
        <f t="shared" si="82"/>
        <v>0</v>
      </c>
      <c r="N202" s="174" t="e">
        <f t="shared" si="83"/>
        <v>#DIV/0!</v>
      </c>
      <c r="O202" s="287" t="s">
        <v>385</v>
      </c>
      <c r="P202" s="151"/>
    </row>
    <row r="203" spans="1:16" s="162" customFormat="1">
      <c r="A203" s="165" t="s">
        <v>718</v>
      </c>
      <c r="B203" s="189" t="s">
        <v>719</v>
      </c>
      <c r="C203" s="167" t="s">
        <v>476</v>
      </c>
      <c r="D203" s="186">
        <f>D186-D191-D193-D195-D196-D197-D199-D200-D201</f>
        <v>7.5209999999999946</v>
      </c>
      <c r="E203" s="186">
        <f>E186-E191-E193-E195-E196-E197-E199-E200-E201</f>
        <v>35.609000000000002</v>
      </c>
      <c r="F203" s="186">
        <f>F75*1.18+2-0.568</f>
        <v>27.928900000000013</v>
      </c>
      <c r="G203" s="186">
        <f>G75*1.18</f>
        <v>13.535779999999999</v>
      </c>
      <c r="H203" s="186">
        <v>10.805</v>
      </c>
      <c r="I203" s="186">
        <f>I75*1.18</f>
        <v>24.601819999999986</v>
      </c>
      <c r="J203" s="186">
        <f>3.795+3.466</f>
        <v>7.2610000000000001</v>
      </c>
      <c r="K203" s="186">
        <f>K75*1.18+2</f>
        <v>34.759160000000008</v>
      </c>
      <c r="L203" s="186">
        <f>K203</f>
        <v>34.759160000000008</v>
      </c>
      <c r="M203" s="173">
        <f t="shared" si="82"/>
        <v>-20.667900000000014</v>
      </c>
      <c r="N203" s="174">
        <f t="shared" si="83"/>
        <v>-0.74001840387555562</v>
      </c>
      <c r="O203" s="287" t="s">
        <v>385</v>
      </c>
      <c r="P203" s="151"/>
    </row>
    <row r="204" spans="1:16" s="162" customFormat="1">
      <c r="A204" s="254" t="s">
        <v>720</v>
      </c>
      <c r="B204" s="255" t="s">
        <v>721</v>
      </c>
      <c r="C204" s="256" t="s">
        <v>476</v>
      </c>
      <c r="D204" s="264">
        <v>0</v>
      </c>
      <c r="E204" s="260">
        <f>E205+E206+E210</f>
        <v>0.02</v>
      </c>
      <c r="F204" s="264">
        <v>0</v>
      </c>
      <c r="G204" s="264"/>
      <c r="H204" s="264">
        <v>0</v>
      </c>
      <c r="I204" s="264"/>
      <c r="J204" s="264">
        <v>0</v>
      </c>
      <c r="K204" s="264">
        <v>0</v>
      </c>
      <c r="L204" s="264">
        <v>0</v>
      </c>
      <c r="M204" s="264"/>
      <c r="N204" s="264"/>
      <c r="O204" s="294"/>
      <c r="P204" s="151"/>
    </row>
    <row r="205" spans="1:16" s="162" customFormat="1">
      <c r="A205" s="165" t="s">
        <v>722</v>
      </c>
      <c r="B205" s="189" t="s">
        <v>723</v>
      </c>
      <c r="C205" s="167" t="s">
        <v>476</v>
      </c>
      <c r="D205" s="168">
        <v>0</v>
      </c>
      <c r="E205" s="168">
        <v>0</v>
      </c>
      <c r="F205" s="168">
        <v>0</v>
      </c>
      <c r="G205" s="168"/>
      <c r="H205" s="168">
        <v>0</v>
      </c>
      <c r="I205" s="168"/>
      <c r="J205" s="168">
        <v>0</v>
      </c>
      <c r="K205" s="168">
        <v>0</v>
      </c>
      <c r="L205" s="168">
        <v>0</v>
      </c>
      <c r="M205" s="168"/>
      <c r="N205" s="168"/>
      <c r="O205" s="176"/>
      <c r="P205" s="151"/>
    </row>
    <row r="206" spans="1:16" s="162" customFormat="1">
      <c r="A206" s="165" t="s">
        <v>724</v>
      </c>
      <c r="B206" s="189" t="s">
        <v>725</v>
      </c>
      <c r="C206" s="167" t="s">
        <v>476</v>
      </c>
      <c r="D206" s="168">
        <v>0</v>
      </c>
      <c r="E206" s="168">
        <v>0</v>
      </c>
      <c r="F206" s="168">
        <v>0</v>
      </c>
      <c r="G206" s="168"/>
      <c r="H206" s="168">
        <v>0</v>
      </c>
      <c r="I206" s="168"/>
      <c r="J206" s="168">
        <v>0</v>
      </c>
      <c r="K206" s="168">
        <v>0</v>
      </c>
      <c r="L206" s="168">
        <v>0</v>
      </c>
      <c r="M206" s="168"/>
      <c r="N206" s="168"/>
      <c r="O206" s="176"/>
      <c r="P206" s="151"/>
    </row>
    <row r="207" spans="1:16" s="162" customFormat="1" ht="31.5">
      <c r="A207" s="165" t="s">
        <v>726</v>
      </c>
      <c r="B207" s="210" t="s">
        <v>727</v>
      </c>
      <c r="C207" s="167" t="s">
        <v>476</v>
      </c>
      <c r="D207" s="168">
        <v>0</v>
      </c>
      <c r="E207" s="168">
        <v>0</v>
      </c>
      <c r="F207" s="168">
        <v>0</v>
      </c>
      <c r="G207" s="168"/>
      <c r="H207" s="168">
        <v>0</v>
      </c>
      <c r="I207" s="168"/>
      <c r="J207" s="168">
        <v>0</v>
      </c>
      <c r="K207" s="168">
        <v>0</v>
      </c>
      <c r="L207" s="168">
        <v>0</v>
      </c>
      <c r="M207" s="168"/>
      <c r="N207" s="168"/>
      <c r="O207" s="176"/>
      <c r="P207" s="151"/>
    </row>
    <row r="208" spans="1:16" s="162" customFormat="1">
      <c r="A208" s="165" t="s">
        <v>728</v>
      </c>
      <c r="B208" s="210" t="s">
        <v>729</v>
      </c>
      <c r="C208" s="167" t="s">
        <v>476</v>
      </c>
      <c r="D208" s="168">
        <v>0</v>
      </c>
      <c r="E208" s="168">
        <v>0</v>
      </c>
      <c r="F208" s="168">
        <v>0</v>
      </c>
      <c r="G208" s="168"/>
      <c r="H208" s="168">
        <v>0</v>
      </c>
      <c r="I208" s="168"/>
      <c r="J208" s="168">
        <v>0</v>
      </c>
      <c r="K208" s="168">
        <v>0</v>
      </c>
      <c r="L208" s="168">
        <v>0</v>
      </c>
      <c r="M208" s="168"/>
      <c r="N208" s="168"/>
      <c r="O208" s="176"/>
      <c r="P208" s="151"/>
    </row>
    <row r="209" spans="1:16" s="162" customFormat="1">
      <c r="A209" s="165" t="s">
        <v>730</v>
      </c>
      <c r="B209" s="210" t="s">
        <v>731</v>
      </c>
      <c r="C209" s="167" t="s">
        <v>476</v>
      </c>
      <c r="D209" s="168">
        <v>0</v>
      </c>
      <c r="E209" s="168">
        <v>0</v>
      </c>
      <c r="F209" s="168">
        <v>0</v>
      </c>
      <c r="G209" s="168"/>
      <c r="H209" s="168">
        <v>0</v>
      </c>
      <c r="I209" s="168"/>
      <c r="J209" s="168">
        <v>0</v>
      </c>
      <c r="K209" s="168">
        <v>0</v>
      </c>
      <c r="L209" s="168">
        <v>0</v>
      </c>
      <c r="M209" s="168"/>
      <c r="N209" s="168"/>
      <c r="O209" s="176"/>
      <c r="P209" s="151"/>
    </row>
    <row r="210" spans="1:16" s="162" customFormat="1">
      <c r="A210" s="165" t="s">
        <v>732</v>
      </c>
      <c r="B210" s="189" t="s">
        <v>733</v>
      </c>
      <c r="C210" s="167" t="s">
        <v>476</v>
      </c>
      <c r="D210" s="168">
        <v>0</v>
      </c>
      <c r="E210" s="186">
        <v>0.02</v>
      </c>
      <c r="F210" s="168">
        <v>0</v>
      </c>
      <c r="G210" s="168"/>
      <c r="H210" s="168">
        <v>0</v>
      </c>
      <c r="I210" s="168"/>
      <c r="J210" s="168">
        <v>0</v>
      </c>
      <c r="K210" s="168">
        <v>0</v>
      </c>
      <c r="L210" s="168">
        <v>0</v>
      </c>
      <c r="M210" s="168"/>
      <c r="N210" s="168"/>
      <c r="O210" s="289"/>
      <c r="P210" s="151"/>
    </row>
    <row r="211" spans="1:16" s="162" customFormat="1">
      <c r="A211" s="254" t="s">
        <v>734</v>
      </c>
      <c r="B211" s="255" t="s">
        <v>735</v>
      </c>
      <c r="C211" s="256" t="s">
        <v>476</v>
      </c>
      <c r="D211" s="257">
        <v>10.022</v>
      </c>
      <c r="E211" s="260">
        <v>1.143</v>
      </c>
      <c r="F211" s="257">
        <f t="shared" ref="F211:L211" si="89">F212</f>
        <v>10.672000000000001</v>
      </c>
      <c r="G211" s="257">
        <f t="shared" si="89"/>
        <v>8.0990000000000002</v>
      </c>
      <c r="H211" s="257">
        <f t="shared" si="89"/>
        <v>3.2749999999999999</v>
      </c>
      <c r="I211" s="257">
        <f t="shared" si="89"/>
        <v>12.093</v>
      </c>
      <c r="J211" s="257">
        <f t="shared" si="89"/>
        <v>8.3870000000000005</v>
      </c>
      <c r="K211" s="257">
        <f t="shared" si="89"/>
        <v>11.241</v>
      </c>
      <c r="L211" s="257">
        <f t="shared" si="89"/>
        <v>11.241</v>
      </c>
      <c r="M211" s="285">
        <f t="shared" ref="M211" si="90">J211-F211</f>
        <v>-2.2850000000000001</v>
      </c>
      <c r="N211" s="286">
        <f t="shared" ref="N211" si="91">M211/F211</f>
        <v>-0.21411169415292353</v>
      </c>
      <c r="O211" s="290" t="s">
        <v>385</v>
      </c>
      <c r="P211" s="151"/>
    </row>
    <row r="212" spans="1:16" s="162" customFormat="1">
      <c r="A212" s="165" t="s">
        <v>736</v>
      </c>
      <c r="B212" s="189" t="s">
        <v>737</v>
      </c>
      <c r="C212" s="167" t="s">
        <v>476</v>
      </c>
      <c r="D212" s="186">
        <f>D213+D214+D215+D216+D217+D218</f>
        <v>10.022</v>
      </c>
      <c r="E212" s="186"/>
      <c r="F212" s="171">
        <f t="shared" ref="F212:L212" si="92">F213+F214+F215+F216</f>
        <v>10.672000000000001</v>
      </c>
      <c r="G212" s="171">
        <f t="shared" si="92"/>
        <v>8.0990000000000002</v>
      </c>
      <c r="H212" s="171">
        <f t="shared" si="92"/>
        <v>3.2749999999999999</v>
      </c>
      <c r="I212" s="171">
        <f t="shared" ref="I212:J212" si="93">I213+I214+I215+I216</f>
        <v>12.093</v>
      </c>
      <c r="J212" s="171">
        <f t="shared" si="93"/>
        <v>8.3870000000000005</v>
      </c>
      <c r="K212" s="171">
        <f t="shared" si="92"/>
        <v>11.241</v>
      </c>
      <c r="L212" s="171">
        <f t="shared" si="92"/>
        <v>11.241</v>
      </c>
      <c r="M212" s="173">
        <f t="shared" ref="M212:M213" si="94">J212-F212</f>
        <v>-2.2850000000000001</v>
      </c>
      <c r="N212" s="174">
        <f t="shared" ref="N212:N213" si="95">M212/F212</f>
        <v>-0.21411169415292353</v>
      </c>
      <c r="O212" s="287" t="s">
        <v>385</v>
      </c>
      <c r="P212" s="151"/>
    </row>
    <row r="213" spans="1:16" s="162" customFormat="1">
      <c r="A213" s="165" t="s">
        <v>738</v>
      </c>
      <c r="B213" s="210" t="s">
        <v>739</v>
      </c>
      <c r="C213" s="167" t="s">
        <v>476</v>
      </c>
      <c r="D213" s="171">
        <v>6.5910000000000002</v>
      </c>
      <c r="E213" s="186">
        <v>0.69299999999999995</v>
      </c>
      <c r="F213" s="171">
        <f>6.405+1-0.569</f>
        <v>6.8360000000000003</v>
      </c>
      <c r="G213" s="171">
        <v>8.0990000000000002</v>
      </c>
      <c r="H213" s="171">
        <f>0.754+2.521</f>
        <v>3.2749999999999999</v>
      </c>
      <c r="I213" s="275">
        <f>10.098+1.995</f>
        <v>12.093</v>
      </c>
      <c r="J213" s="186">
        <f>2.589+5.501</f>
        <v>8.09</v>
      </c>
      <c r="K213" s="171">
        <f>6.405+1</f>
        <v>7.4050000000000002</v>
      </c>
      <c r="L213" s="171">
        <v>11.241</v>
      </c>
      <c r="M213" s="173">
        <f t="shared" si="94"/>
        <v>1.2539999999999996</v>
      </c>
      <c r="N213" s="174">
        <f t="shared" si="95"/>
        <v>0.18344060854300753</v>
      </c>
      <c r="O213" s="287" t="s">
        <v>385</v>
      </c>
      <c r="P213" s="151"/>
    </row>
    <row r="214" spans="1:16" s="162" customFormat="1">
      <c r="A214" s="165" t="s">
        <v>740</v>
      </c>
      <c r="B214" s="210" t="s">
        <v>741</v>
      </c>
      <c r="C214" s="167" t="s">
        <v>476</v>
      </c>
      <c r="D214" s="171">
        <v>0.191</v>
      </c>
      <c r="E214" s="202"/>
      <c r="F214" s="171">
        <f>3.018+0.125+0.693</f>
        <v>3.8359999999999999</v>
      </c>
      <c r="G214" s="168"/>
      <c r="H214" s="203"/>
      <c r="I214" s="168"/>
      <c r="J214" s="203">
        <f>0.197+0.1</f>
        <v>0.29700000000000004</v>
      </c>
      <c r="K214" s="171">
        <f>3.018+0.125+0.693</f>
        <v>3.8359999999999999</v>
      </c>
      <c r="L214" s="168">
        <v>0</v>
      </c>
      <c r="M214" s="173">
        <f t="shared" ref="M214" si="96">J214-F214</f>
        <v>-3.5389999999999997</v>
      </c>
      <c r="N214" s="174">
        <f t="shared" ref="N214" si="97">M214/F214</f>
        <v>-0.92257559958289881</v>
      </c>
      <c r="O214" s="287" t="s">
        <v>385</v>
      </c>
      <c r="P214" s="151"/>
    </row>
    <row r="215" spans="1:16" s="162" customFormat="1">
      <c r="A215" s="165" t="s">
        <v>742</v>
      </c>
      <c r="B215" s="210" t="s">
        <v>743</v>
      </c>
      <c r="C215" s="167" t="s">
        <v>476</v>
      </c>
      <c r="D215" s="171"/>
      <c r="E215" s="188">
        <v>0</v>
      </c>
      <c r="F215" s="186"/>
      <c r="G215" s="186"/>
      <c r="H215" s="186"/>
      <c r="I215" s="186"/>
      <c r="J215" s="186"/>
      <c r="K215" s="168">
        <v>0</v>
      </c>
      <c r="L215" s="168">
        <v>0</v>
      </c>
      <c r="M215" s="168"/>
      <c r="N215" s="168"/>
      <c r="O215" s="289"/>
      <c r="P215" s="151"/>
    </row>
    <row r="216" spans="1:16" s="162" customFormat="1">
      <c r="A216" s="165" t="s">
        <v>744</v>
      </c>
      <c r="B216" s="210" t="s">
        <v>745</v>
      </c>
      <c r="C216" s="167" t="s">
        <v>476</v>
      </c>
      <c r="D216" s="171">
        <v>3.24</v>
      </c>
      <c r="E216" s="188">
        <v>0</v>
      </c>
      <c r="F216" s="168">
        <v>0</v>
      </c>
      <c r="G216" s="168"/>
      <c r="H216" s="168"/>
      <c r="I216" s="168"/>
      <c r="J216" s="168"/>
      <c r="K216" s="171"/>
      <c r="L216" s="171"/>
      <c r="M216" s="186"/>
      <c r="N216" s="186"/>
      <c r="O216" s="289"/>
      <c r="P216" s="151"/>
    </row>
    <row r="217" spans="1:16" s="162" customFormat="1">
      <c r="A217" s="165" t="s">
        <v>746</v>
      </c>
      <c r="B217" s="210" t="s">
        <v>747</v>
      </c>
      <c r="C217" s="167" t="s">
        <v>476</v>
      </c>
      <c r="D217" s="168">
        <v>0</v>
      </c>
      <c r="E217" s="188">
        <v>0</v>
      </c>
      <c r="F217" s="168">
        <v>0</v>
      </c>
      <c r="G217" s="168"/>
      <c r="H217" s="168"/>
      <c r="I217" s="168"/>
      <c r="J217" s="168"/>
      <c r="K217" s="168">
        <v>0</v>
      </c>
      <c r="L217" s="168">
        <v>0</v>
      </c>
      <c r="M217" s="168"/>
      <c r="N217" s="168"/>
      <c r="O217" s="289"/>
      <c r="P217" s="151"/>
    </row>
    <row r="218" spans="1:16" s="162" customFormat="1">
      <c r="A218" s="165" t="s">
        <v>748</v>
      </c>
      <c r="B218" s="210" t="s">
        <v>749</v>
      </c>
      <c r="C218" s="167" t="s">
        <v>476</v>
      </c>
      <c r="D218" s="168">
        <v>0</v>
      </c>
      <c r="E218" s="186">
        <v>0.45</v>
      </c>
      <c r="F218" s="168">
        <v>0</v>
      </c>
      <c r="G218" s="168"/>
      <c r="H218" s="168"/>
      <c r="I218" s="168"/>
      <c r="J218" s="168"/>
      <c r="K218" s="168">
        <v>0</v>
      </c>
      <c r="L218" s="168">
        <v>0</v>
      </c>
      <c r="M218" s="168"/>
      <c r="N218" s="168"/>
      <c r="O218" s="289"/>
      <c r="P218" s="151"/>
    </row>
    <row r="219" spans="1:16" s="162" customFormat="1">
      <c r="A219" s="165" t="s">
        <v>750</v>
      </c>
      <c r="B219" s="189" t="s">
        <v>751</v>
      </c>
      <c r="C219" s="167" t="s">
        <v>476</v>
      </c>
      <c r="D219" s="168">
        <v>0</v>
      </c>
      <c r="E219" s="168">
        <v>0</v>
      </c>
      <c r="F219" s="168">
        <v>0</v>
      </c>
      <c r="G219" s="168"/>
      <c r="H219" s="168">
        <v>0</v>
      </c>
      <c r="I219" s="168"/>
      <c r="J219" s="168">
        <v>0</v>
      </c>
      <c r="K219" s="168">
        <v>0</v>
      </c>
      <c r="L219" s="168">
        <v>0</v>
      </c>
      <c r="M219" s="168"/>
      <c r="N219" s="168"/>
      <c r="O219" s="289"/>
      <c r="P219" s="151"/>
    </row>
    <row r="220" spans="1:16" s="162" customFormat="1">
      <c r="A220" s="165" t="s">
        <v>752</v>
      </c>
      <c r="B220" s="189" t="s">
        <v>753</v>
      </c>
      <c r="C220" s="167" t="s">
        <v>476</v>
      </c>
      <c r="D220" s="171"/>
      <c r="E220" s="168">
        <v>0</v>
      </c>
      <c r="F220" s="168">
        <v>0</v>
      </c>
      <c r="G220" s="168"/>
      <c r="H220" s="168">
        <v>0</v>
      </c>
      <c r="I220" s="168"/>
      <c r="J220" s="168">
        <v>0</v>
      </c>
      <c r="K220" s="171"/>
      <c r="L220" s="171"/>
      <c r="M220" s="171"/>
      <c r="N220" s="171"/>
      <c r="O220" s="289"/>
      <c r="P220" s="151"/>
    </row>
    <row r="221" spans="1:16" s="162" customFormat="1">
      <c r="A221" s="165" t="s">
        <v>754</v>
      </c>
      <c r="B221" s="189" t="s">
        <v>564</v>
      </c>
      <c r="C221" s="167" t="s">
        <v>284</v>
      </c>
      <c r="D221" s="168">
        <v>0</v>
      </c>
      <c r="E221" s="168">
        <v>0</v>
      </c>
      <c r="F221" s="168">
        <v>0</v>
      </c>
      <c r="G221" s="168"/>
      <c r="H221" s="168"/>
      <c r="I221" s="168"/>
      <c r="J221" s="168"/>
      <c r="K221" s="168">
        <v>0</v>
      </c>
      <c r="L221" s="168">
        <v>0</v>
      </c>
      <c r="M221" s="168">
        <v>0</v>
      </c>
      <c r="N221" s="168">
        <v>0</v>
      </c>
      <c r="O221" s="289"/>
      <c r="P221" s="151"/>
    </row>
    <row r="222" spans="1:16" s="162" customFormat="1" ht="31.5">
      <c r="A222" s="165" t="s">
        <v>755</v>
      </c>
      <c r="B222" s="189" t="s">
        <v>756</v>
      </c>
      <c r="C222" s="167" t="s">
        <v>476</v>
      </c>
      <c r="D222" s="168">
        <v>0</v>
      </c>
      <c r="E222" s="168">
        <v>0</v>
      </c>
      <c r="F222" s="168">
        <v>0</v>
      </c>
      <c r="G222" s="168"/>
      <c r="H222" s="168"/>
      <c r="I222" s="168"/>
      <c r="J222" s="168"/>
      <c r="K222" s="168">
        <v>0</v>
      </c>
      <c r="L222" s="168">
        <v>0</v>
      </c>
      <c r="M222" s="168">
        <v>0</v>
      </c>
      <c r="N222" s="168">
        <v>0</v>
      </c>
      <c r="O222" s="289"/>
      <c r="P222" s="151"/>
    </row>
    <row r="223" spans="1:16" s="162" customFormat="1">
      <c r="A223" s="254" t="s">
        <v>757</v>
      </c>
      <c r="B223" s="255" t="s">
        <v>758</v>
      </c>
      <c r="C223" s="256" t="s">
        <v>476</v>
      </c>
      <c r="D223" s="264">
        <v>0</v>
      </c>
      <c r="E223" s="264">
        <v>0.57999999999999996</v>
      </c>
      <c r="F223" s="264">
        <v>0</v>
      </c>
      <c r="G223" s="264"/>
      <c r="H223" s="264">
        <v>0</v>
      </c>
      <c r="I223" s="264"/>
      <c r="J223" s="343">
        <f>J224+J225+J229+J230+J233+J234+J235</f>
        <v>10.529</v>
      </c>
      <c r="K223" s="264">
        <v>0</v>
      </c>
      <c r="L223" s="264">
        <v>0</v>
      </c>
      <c r="M223" s="264">
        <v>0</v>
      </c>
      <c r="N223" s="264">
        <v>0</v>
      </c>
      <c r="O223" s="297"/>
      <c r="P223" s="151"/>
    </row>
    <row r="224" spans="1:16" s="162" customFormat="1">
      <c r="A224" s="165" t="s">
        <v>759</v>
      </c>
      <c r="B224" s="189" t="s">
        <v>760</v>
      </c>
      <c r="C224" s="167" t="s">
        <v>476</v>
      </c>
      <c r="D224" s="168">
        <v>0</v>
      </c>
      <c r="E224" s="168">
        <v>0</v>
      </c>
      <c r="F224" s="168">
        <v>0</v>
      </c>
      <c r="G224" s="168"/>
      <c r="H224" s="168">
        <v>0</v>
      </c>
      <c r="I224" s="168"/>
      <c r="J224" s="203">
        <v>0</v>
      </c>
      <c r="K224" s="168">
        <v>0</v>
      </c>
      <c r="L224" s="168">
        <v>0</v>
      </c>
      <c r="M224" s="168">
        <v>0</v>
      </c>
      <c r="N224" s="168">
        <v>0</v>
      </c>
      <c r="O224" s="289"/>
      <c r="P224" s="151"/>
    </row>
    <row r="225" spans="1:16" s="162" customFormat="1">
      <c r="A225" s="165" t="s">
        <v>761</v>
      </c>
      <c r="B225" s="189" t="s">
        <v>762</v>
      </c>
      <c r="C225" s="167" t="s">
        <v>476</v>
      </c>
      <c r="D225" s="168">
        <v>0</v>
      </c>
      <c r="E225" s="168">
        <v>0.57999999999999996</v>
      </c>
      <c r="F225" s="168">
        <v>0</v>
      </c>
      <c r="G225" s="168"/>
      <c r="H225" s="168">
        <v>0</v>
      </c>
      <c r="I225" s="168"/>
      <c r="J225" s="203">
        <f>J226+J227+J228</f>
        <v>10.529</v>
      </c>
      <c r="K225" s="168">
        <v>0</v>
      </c>
      <c r="L225" s="168">
        <v>0</v>
      </c>
      <c r="M225" s="168">
        <v>0</v>
      </c>
      <c r="N225" s="168">
        <v>0</v>
      </c>
      <c r="O225" s="289"/>
      <c r="P225" s="151"/>
    </row>
    <row r="226" spans="1:16" s="162" customFormat="1">
      <c r="A226" s="165" t="s">
        <v>763</v>
      </c>
      <c r="B226" s="210" t="s">
        <v>764</v>
      </c>
      <c r="C226" s="167" t="s">
        <v>476</v>
      </c>
      <c r="D226" s="168">
        <v>0</v>
      </c>
      <c r="E226" s="168">
        <v>0.57999999999999996</v>
      </c>
      <c r="F226" s="168">
        <v>0</v>
      </c>
      <c r="G226" s="168"/>
      <c r="H226" s="168">
        <v>0</v>
      </c>
      <c r="I226" s="168"/>
      <c r="J226" s="203">
        <f>5.219+5.31</f>
        <v>10.529</v>
      </c>
      <c r="K226" s="168">
        <v>0</v>
      </c>
      <c r="L226" s="168">
        <v>0</v>
      </c>
      <c r="M226" s="168">
        <v>0</v>
      </c>
      <c r="N226" s="168">
        <v>0</v>
      </c>
      <c r="O226" s="289"/>
      <c r="P226" s="151"/>
    </row>
    <row r="227" spans="1:16" s="162" customFormat="1">
      <c r="A227" s="165" t="s">
        <v>765</v>
      </c>
      <c r="B227" s="210" t="s">
        <v>766</v>
      </c>
      <c r="C227" s="167" t="s">
        <v>476</v>
      </c>
      <c r="D227" s="168">
        <v>0</v>
      </c>
      <c r="E227" s="168">
        <v>0</v>
      </c>
      <c r="F227" s="168">
        <v>0</v>
      </c>
      <c r="G227" s="168"/>
      <c r="H227" s="168">
        <v>0</v>
      </c>
      <c r="I227" s="168"/>
      <c r="J227" s="168">
        <v>0</v>
      </c>
      <c r="K227" s="168">
        <v>0</v>
      </c>
      <c r="L227" s="168">
        <v>0</v>
      </c>
      <c r="M227" s="168">
        <v>0</v>
      </c>
      <c r="N227" s="168">
        <v>0</v>
      </c>
      <c r="O227" s="176"/>
      <c r="P227" s="151"/>
    </row>
    <row r="228" spans="1:16" s="162" customFormat="1">
      <c r="A228" s="165" t="s">
        <v>767</v>
      </c>
      <c r="B228" s="210" t="s">
        <v>768</v>
      </c>
      <c r="C228" s="167" t="s">
        <v>476</v>
      </c>
      <c r="D228" s="168">
        <v>0</v>
      </c>
      <c r="E228" s="168">
        <v>0</v>
      </c>
      <c r="F228" s="168">
        <v>0</v>
      </c>
      <c r="G228" s="168"/>
      <c r="H228" s="168">
        <v>0</v>
      </c>
      <c r="I228" s="168"/>
      <c r="J228" s="168">
        <v>0</v>
      </c>
      <c r="K228" s="168">
        <v>0</v>
      </c>
      <c r="L228" s="168">
        <v>0</v>
      </c>
      <c r="M228" s="168">
        <v>0</v>
      </c>
      <c r="N228" s="168">
        <v>0</v>
      </c>
      <c r="O228" s="176"/>
      <c r="P228" s="151"/>
    </row>
    <row r="229" spans="1:16" s="162" customFormat="1">
      <c r="A229" s="165" t="s">
        <v>769</v>
      </c>
      <c r="B229" s="189" t="s">
        <v>770</v>
      </c>
      <c r="C229" s="167" t="s">
        <v>476</v>
      </c>
      <c r="D229" s="168">
        <v>0</v>
      </c>
      <c r="E229" s="168">
        <v>0</v>
      </c>
      <c r="F229" s="168">
        <v>0</v>
      </c>
      <c r="G229" s="168"/>
      <c r="H229" s="168">
        <v>0</v>
      </c>
      <c r="I229" s="168"/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76"/>
      <c r="P229" s="151"/>
    </row>
    <row r="230" spans="1:16" s="162" customFormat="1">
      <c r="A230" s="165" t="s">
        <v>771</v>
      </c>
      <c r="B230" s="189" t="s">
        <v>772</v>
      </c>
      <c r="C230" s="167" t="s">
        <v>476</v>
      </c>
      <c r="D230" s="168">
        <v>0</v>
      </c>
      <c r="E230" s="168">
        <v>0</v>
      </c>
      <c r="F230" s="168">
        <v>0</v>
      </c>
      <c r="G230" s="168"/>
      <c r="H230" s="168">
        <v>0</v>
      </c>
      <c r="I230" s="168"/>
      <c r="J230" s="168">
        <v>0</v>
      </c>
      <c r="K230" s="168">
        <v>0</v>
      </c>
      <c r="L230" s="168">
        <v>0</v>
      </c>
      <c r="M230" s="168">
        <v>0</v>
      </c>
      <c r="N230" s="168">
        <v>0</v>
      </c>
      <c r="O230" s="176"/>
      <c r="P230" s="151"/>
    </row>
    <row r="231" spans="1:16" s="162" customFormat="1">
      <c r="A231" s="165" t="s">
        <v>773</v>
      </c>
      <c r="B231" s="210" t="s">
        <v>774</v>
      </c>
      <c r="C231" s="167" t="s">
        <v>476</v>
      </c>
      <c r="D231" s="168">
        <v>0</v>
      </c>
      <c r="E231" s="168">
        <v>0</v>
      </c>
      <c r="F231" s="168">
        <v>0</v>
      </c>
      <c r="G231" s="168"/>
      <c r="H231" s="168">
        <v>0</v>
      </c>
      <c r="I231" s="168"/>
      <c r="J231" s="168">
        <v>0</v>
      </c>
      <c r="K231" s="168">
        <v>0</v>
      </c>
      <c r="L231" s="168">
        <v>0</v>
      </c>
      <c r="M231" s="168">
        <v>0</v>
      </c>
      <c r="N231" s="168">
        <v>0</v>
      </c>
      <c r="O231" s="176"/>
      <c r="P231" s="151"/>
    </row>
    <row r="232" spans="1:16" s="162" customFormat="1">
      <c r="A232" s="165" t="s">
        <v>775</v>
      </c>
      <c r="B232" s="210" t="s">
        <v>776</v>
      </c>
      <c r="C232" s="167" t="s">
        <v>476</v>
      </c>
      <c r="D232" s="168">
        <v>0</v>
      </c>
      <c r="E232" s="168">
        <v>0</v>
      </c>
      <c r="F232" s="168">
        <v>0</v>
      </c>
      <c r="G232" s="168"/>
      <c r="H232" s="168">
        <v>0</v>
      </c>
      <c r="I232" s="168"/>
      <c r="J232" s="168">
        <v>0</v>
      </c>
      <c r="K232" s="168">
        <v>0</v>
      </c>
      <c r="L232" s="168">
        <v>0</v>
      </c>
      <c r="M232" s="168">
        <v>0</v>
      </c>
      <c r="N232" s="168">
        <v>0</v>
      </c>
      <c r="O232" s="176"/>
      <c r="P232" s="151"/>
    </row>
    <row r="233" spans="1:16" s="162" customFormat="1">
      <c r="A233" s="165" t="s">
        <v>777</v>
      </c>
      <c r="B233" s="189" t="s">
        <v>778</v>
      </c>
      <c r="C233" s="167" t="s">
        <v>476</v>
      </c>
      <c r="D233" s="168">
        <v>0</v>
      </c>
      <c r="E233" s="168">
        <v>0</v>
      </c>
      <c r="F233" s="168">
        <v>0</v>
      </c>
      <c r="G233" s="168"/>
      <c r="H233" s="168">
        <v>0</v>
      </c>
      <c r="I233" s="168"/>
      <c r="J233" s="168">
        <v>0</v>
      </c>
      <c r="K233" s="168">
        <v>0</v>
      </c>
      <c r="L233" s="168">
        <v>0</v>
      </c>
      <c r="M233" s="168">
        <v>0</v>
      </c>
      <c r="N233" s="168">
        <v>0</v>
      </c>
      <c r="O233" s="176"/>
      <c r="P233" s="151"/>
    </row>
    <row r="234" spans="1:16" s="162" customFormat="1">
      <c r="A234" s="165" t="s">
        <v>779</v>
      </c>
      <c r="B234" s="189" t="s">
        <v>780</v>
      </c>
      <c r="C234" s="167" t="s">
        <v>476</v>
      </c>
      <c r="D234" s="168">
        <v>0</v>
      </c>
      <c r="E234" s="168">
        <v>0</v>
      </c>
      <c r="F234" s="168">
        <v>0</v>
      </c>
      <c r="G234" s="168"/>
      <c r="H234" s="168">
        <v>0</v>
      </c>
      <c r="I234" s="168"/>
      <c r="J234" s="168">
        <v>0</v>
      </c>
      <c r="K234" s="168">
        <v>0</v>
      </c>
      <c r="L234" s="168">
        <v>0</v>
      </c>
      <c r="M234" s="168">
        <v>0</v>
      </c>
      <c r="N234" s="168">
        <v>0</v>
      </c>
      <c r="O234" s="176"/>
      <c r="P234" s="151"/>
    </row>
    <row r="235" spans="1:16" s="162" customFormat="1">
      <c r="A235" s="165" t="s">
        <v>781</v>
      </c>
      <c r="B235" s="189" t="s">
        <v>782</v>
      </c>
      <c r="C235" s="167" t="s">
        <v>476</v>
      </c>
      <c r="D235" s="168">
        <v>0</v>
      </c>
      <c r="E235" s="168">
        <v>0</v>
      </c>
      <c r="F235" s="168">
        <v>0</v>
      </c>
      <c r="G235" s="168"/>
      <c r="H235" s="168">
        <v>0</v>
      </c>
      <c r="I235" s="168"/>
      <c r="J235" s="168">
        <v>0</v>
      </c>
      <c r="K235" s="168">
        <v>0</v>
      </c>
      <c r="L235" s="168">
        <v>0</v>
      </c>
      <c r="M235" s="168">
        <v>0</v>
      </c>
      <c r="N235" s="168">
        <v>0</v>
      </c>
      <c r="O235" s="176"/>
      <c r="P235" s="151"/>
    </row>
    <row r="236" spans="1:16" s="162" customFormat="1">
      <c r="A236" s="254" t="s">
        <v>783</v>
      </c>
      <c r="B236" s="255" t="s">
        <v>784</v>
      </c>
      <c r="C236" s="256" t="s">
        <v>476</v>
      </c>
      <c r="D236" s="264">
        <v>0</v>
      </c>
      <c r="E236" s="264">
        <v>0.57999999999999996</v>
      </c>
      <c r="F236" s="264">
        <v>0</v>
      </c>
      <c r="G236" s="264"/>
      <c r="H236" s="264">
        <v>0</v>
      </c>
      <c r="I236" s="264"/>
      <c r="J236" s="459">
        <f>J237+J241+J242</f>
        <v>7.76</v>
      </c>
      <c r="K236" s="264">
        <v>0</v>
      </c>
      <c r="L236" s="264">
        <v>0</v>
      </c>
      <c r="M236" s="264">
        <v>0</v>
      </c>
      <c r="N236" s="264">
        <v>0</v>
      </c>
      <c r="O236" s="297"/>
      <c r="P236" s="151"/>
    </row>
    <row r="237" spans="1:16" s="162" customFormat="1">
      <c r="A237" s="165" t="s">
        <v>785</v>
      </c>
      <c r="B237" s="189" t="s">
        <v>786</v>
      </c>
      <c r="C237" s="167" t="s">
        <v>476</v>
      </c>
      <c r="D237" s="168">
        <v>0</v>
      </c>
      <c r="E237" s="168">
        <v>0.57999999999999996</v>
      </c>
      <c r="F237" s="168">
        <v>0</v>
      </c>
      <c r="G237" s="168"/>
      <c r="H237" s="168">
        <v>0</v>
      </c>
      <c r="I237" s="168"/>
      <c r="J237" s="460">
        <f>J238+J239+J240</f>
        <v>7.76</v>
      </c>
      <c r="K237" s="168">
        <v>0</v>
      </c>
      <c r="L237" s="168">
        <v>0</v>
      </c>
      <c r="M237" s="168">
        <v>0</v>
      </c>
      <c r="N237" s="168">
        <v>0</v>
      </c>
      <c r="O237" s="289"/>
      <c r="P237" s="151"/>
    </row>
    <row r="238" spans="1:16" s="162" customFormat="1">
      <c r="A238" s="165" t="s">
        <v>787</v>
      </c>
      <c r="B238" s="210" t="s">
        <v>764</v>
      </c>
      <c r="C238" s="167" t="s">
        <v>476</v>
      </c>
      <c r="D238" s="168">
        <v>0</v>
      </c>
      <c r="E238" s="168">
        <v>0.57999999999999996</v>
      </c>
      <c r="F238" s="168">
        <v>0</v>
      </c>
      <c r="G238" s="168"/>
      <c r="H238" s="168">
        <v>0</v>
      </c>
      <c r="I238" s="168"/>
      <c r="J238" s="460">
        <f>4.942+2.818</f>
        <v>7.76</v>
      </c>
      <c r="K238" s="168">
        <v>0</v>
      </c>
      <c r="L238" s="168">
        <v>0</v>
      </c>
      <c r="M238" s="168">
        <v>0</v>
      </c>
      <c r="N238" s="168">
        <v>0</v>
      </c>
      <c r="O238" s="289"/>
      <c r="P238" s="151"/>
    </row>
    <row r="239" spans="1:16" s="162" customFormat="1">
      <c r="A239" s="165" t="s">
        <v>788</v>
      </c>
      <c r="B239" s="210" t="s">
        <v>766</v>
      </c>
      <c r="C239" s="167" t="s">
        <v>476</v>
      </c>
      <c r="D239" s="168">
        <v>0</v>
      </c>
      <c r="E239" s="168">
        <v>0</v>
      </c>
      <c r="F239" s="168">
        <v>0</v>
      </c>
      <c r="G239" s="168"/>
      <c r="H239" s="168">
        <v>0</v>
      </c>
      <c r="I239" s="168"/>
      <c r="J239" s="168">
        <v>0</v>
      </c>
      <c r="K239" s="168">
        <v>0</v>
      </c>
      <c r="L239" s="168">
        <v>0</v>
      </c>
      <c r="M239" s="168">
        <v>0</v>
      </c>
      <c r="N239" s="168">
        <v>0</v>
      </c>
      <c r="O239" s="289"/>
      <c r="P239" s="151"/>
    </row>
    <row r="240" spans="1:16" s="162" customFormat="1">
      <c r="A240" s="165" t="s">
        <v>789</v>
      </c>
      <c r="B240" s="210" t="s">
        <v>768</v>
      </c>
      <c r="C240" s="167" t="s">
        <v>476</v>
      </c>
      <c r="D240" s="168">
        <v>0</v>
      </c>
      <c r="E240" s="168">
        <v>0</v>
      </c>
      <c r="F240" s="168">
        <v>0</v>
      </c>
      <c r="G240" s="168"/>
      <c r="H240" s="168">
        <v>0</v>
      </c>
      <c r="I240" s="168"/>
      <c r="J240" s="168">
        <v>0</v>
      </c>
      <c r="K240" s="168">
        <v>0</v>
      </c>
      <c r="L240" s="168">
        <v>0</v>
      </c>
      <c r="M240" s="168">
        <v>0</v>
      </c>
      <c r="N240" s="168">
        <v>0</v>
      </c>
      <c r="O240" s="176"/>
      <c r="P240" s="151"/>
    </row>
    <row r="241" spans="1:16" s="162" customFormat="1">
      <c r="A241" s="165" t="s">
        <v>790</v>
      </c>
      <c r="B241" s="189" t="s">
        <v>652</v>
      </c>
      <c r="C241" s="167" t="s">
        <v>476</v>
      </c>
      <c r="D241" s="168">
        <v>0</v>
      </c>
      <c r="E241" s="168">
        <v>0</v>
      </c>
      <c r="F241" s="168">
        <v>0</v>
      </c>
      <c r="G241" s="168"/>
      <c r="H241" s="168">
        <v>0</v>
      </c>
      <c r="I241" s="168"/>
      <c r="J241" s="168">
        <v>0</v>
      </c>
      <c r="K241" s="168">
        <v>0</v>
      </c>
      <c r="L241" s="168">
        <v>0</v>
      </c>
      <c r="M241" s="168">
        <v>0</v>
      </c>
      <c r="N241" s="168">
        <v>0</v>
      </c>
      <c r="O241" s="176"/>
      <c r="P241" s="151"/>
    </row>
    <row r="242" spans="1:16" s="162" customFormat="1">
      <c r="A242" s="165" t="s">
        <v>791</v>
      </c>
      <c r="B242" s="189" t="s">
        <v>792</v>
      </c>
      <c r="C242" s="167" t="s">
        <v>476</v>
      </c>
      <c r="D242" s="168">
        <v>0</v>
      </c>
      <c r="E242" s="168">
        <v>0</v>
      </c>
      <c r="F242" s="168">
        <v>0</v>
      </c>
      <c r="G242" s="168"/>
      <c r="H242" s="168">
        <v>0</v>
      </c>
      <c r="I242" s="168"/>
      <c r="J242" s="168">
        <v>0</v>
      </c>
      <c r="K242" s="168">
        <v>0</v>
      </c>
      <c r="L242" s="168">
        <v>0</v>
      </c>
      <c r="M242" s="168">
        <v>0</v>
      </c>
      <c r="N242" s="168">
        <v>0</v>
      </c>
      <c r="O242" s="176"/>
      <c r="P242" s="151"/>
    </row>
    <row r="243" spans="1:16" s="162" customFormat="1" ht="31.5">
      <c r="A243" s="165" t="s">
        <v>793</v>
      </c>
      <c r="B243" s="189" t="s">
        <v>794</v>
      </c>
      <c r="C243" s="167" t="s">
        <v>476</v>
      </c>
      <c r="D243" s="186">
        <f>D168-D186</f>
        <v>10.189000000000007</v>
      </c>
      <c r="E243" s="186">
        <f t="shared" ref="E243:L243" si="98">E168-E186</f>
        <v>6.5529999999999973</v>
      </c>
      <c r="F243" s="186">
        <f t="shared" si="98"/>
        <v>14.310539999999975</v>
      </c>
      <c r="G243" s="186">
        <f t="shared" si="98"/>
        <v>6.8392199999999974</v>
      </c>
      <c r="H243" s="186">
        <f t="shared" si="98"/>
        <v>4.4439599999999899</v>
      </c>
      <c r="I243" s="186">
        <f t="shared" ref="I243:J243" si="99">I168-I186</f>
        <v>3.0438400000000172</v>
      </c>
      <c r="J243" s="186">
        <f t="shared" si="99"/>
        <v>5.6659999999999968</v>
      </c>
      <c r="K243" s="186">
        <f t="shared" si="98"/>
        <v>10.722179999999923</v>
      </c>
      <c r="L243" s="186">
        <f t="shared" si="98"/>
        <v>10.722179999999923</v>
      </c>
      <c r="M243" s="272">
        <f t="shared" ref="M243:M244" si="100">J243-F243</f>
        <v>-8.6445399999999779</v>
      </c>
      <c r="N243" s="312">
        <f t="shared" ref="N243:N244" si="101">M243/F243</f>
        <v>-0.60406805054176804</v>
      </c>
      <c r="O243" s="313" t="s">
        <v>385</v>
      </c>
      <c r="P243" s="151"/>
    </row>
    <row r="244" spans="1:16" s="162" customFormat="1" ht="31.5">
      <c r="A244" s="165" t="s">
        <v>795</v>
      </c>
      <c r="B244" s="189" t="s">
        <v>796</v>
      </c>
      <c r="C244" s="167" t="s">
        <v>476</v>
      </c>
      <c r="D244" s="186">
        <f>D204-D211</f>
        <v>-10.022</v>
      </c>
      <c r="E244" s="186">
        <f t="shared" ref="E244:L244" si="102">E204-E211</f>
        <v>-1.123</v>
      </c>
      <c r="F244" s="186">
        <f t="shared" si="102"/>
        <v>-10.672000000000001</v>
      </c>
      <c r="G244" s="186">
        <f t="shared" si="102"/>
        <v>-8.0990000000000002</v>
      </c>
      <c r="H244" s="186">
        <f t="shared" si="102"/>
        <v>-3.2749999999999999</v>
      </c>
      <c r="I244" s="186">
        <f t="shared" ref="I244:J244" si="103">I204-I211</f>
        <v>-12.093</v>
      </c>
      <c r="J244" s="186">
        <f t="shared" si="103"/>
        <v>-8.3870000000000005</v>
      </c>
      <c r="K244" s="186">
        <f t="shared" si="102"/>
        <v>-11.241</v>
      </c>
      <c r="L244" s="186">
        <f t="shared" si="102"/>
        <v>-11.241</v>
      </c>
      <c r="M244" s="272">
        <f t="shared" si="100"/>
        <v>2.2850000000000001</v>
      </c>
      <c r="N244" s="312">
        <f t="shared" si="101"/>
        <v>-0.21411169415292353</v>
      </c>
      <c r="O244" s="313" t="s">
        <v>385</v>
      </c>
      <c r="P244" s="151"/>
    </row>
    <row r="245" spans="1:16" s="162" customFormat="1">
      <c r="A245" s="165" t="s">
        <v>797</v>
      </c>
      <c r="B245" s="189" t="s">
        <v>798</v>
      </c>
      <c r="C245" s="167" t="s">
        <v>476</v>
      </c>
      <c r="D245" s="186">
        <f>D244</f>
        <v>-10.022</v>
      </c>
      <c r="E245" s="186">
        <f>E244</f>
        <v>-1.123</v>
      </c>
      <c r="F245" s="186">
        <f t="shared" ref="F245:L245" si="104">F244</f>
        <v>-10.672000000000001</v>
      </c>
      <c r="G245" s="186">
        <f t="shared" si="104"/>
        <v>-8.0990000000000002</v>
      </c>
      <c r="H245" s="186">
        <f t="shared" si="104"/>
        <v>-3.2749999999999999</v>
      </c>
      <c r="I245" s="186">
        <f t="shared" ref="I245:J245" si="105">I244</f>
        <v>-12.093</v>
      </c>
      <c r="J245" s="186">
        <f t="shared" si="105"/>
        <v>-8.3870000000000005</v>
      </c>
      <c r="K245" s="186">
        <f t="shared" si="104"/>
        <v>-11.241</v>
      </c>
      <c r="L245" s="186">
        <f t="shared" si="104"/>
        <v>-11.241</v>
      </c>
      <c r="M245" s="173">
        <f t="shared" ref="M245" si="106">J245-F245</f>
        <v>2.2850000000000001</v>
      </c>
      <c r="N245" s="174">
        <f t="shared" ref="N245" si="107">M245/F245</f>
        <v>-0.21411169415292353</v>
      </c>
      <c r="O245" s="287" t="s">
        <v>385</v>
      </c>
      <c r="P245" s="151"/>
    </row>
    <row r="246" spans="1:16" s="162" customFormat="1">
      <c r="A246" s="165" t="s">
        <v>799</v>
      </c>
      <c r="B246" s="189" t="s">
        <v>800</v>
      </c>
      <c r="C246" s="167" t="s">
        <v>476</v>
      </c>
      <c r="D246" s="168">
        <v>0</v>
      </c>
      <c r="E246" s="168">
        <v>0</v>
      </c>
      <c r="F246" s="168">
        <v>0</v>
      </c>
      <c r="G246" s="168"/>
      <c r="H246" s="168"/>
      <c r="I246" s="168"/>
      <c r="J246" s="168"/>
      <c r="K246" s="168">
        <v>0</v>
      </c>
      <c r="L246" s="168">
        <v>0</v>
      </c>
      <c r="M246" s="168"/>
      <c r="N246" s="168"/>
      <c r="O246" s="176"/>
      <c r="P246" s="151"/>
    </row>
    <row r="247" spans="1:16" s="162" customFormat="1" ht="31.5">
      <c r="A247" s="165" t="s">
        <v>801</v>
      </c>
      <c r="B247" s="189" t="s">
        <v>802</v>
      </c>
      <c r="C247" s="167" t="s">
        <v>476</v>
      </c>
      <c r="D247" s="168">
        <f>D223-D236</f>
        <v>0</v>
      </c>
      <c r="E247" s="168">
        <f t="shared" ref="E247:L247" si="108">E223-E236</f>
        <v>0</v>
      </c>
      <c r="F247" s="168">
        <f t="shared" si="108"/>
        <v>0</v>
      </c>
      <c r="G247" s="168"/>
      <c r="H247" s="168">
        <f t="shared" si="108"/>
        <v>0</v>
      </c>
      <c r="I247" s="168"/>
      <c r="J247" s="186">
        <f t="shared" ref="J247" si="109">J223-J236</f>
        <v>2.7690000000000001</v>
      </c>
      <c r="K247" s="168">
        <f t="shared" si="108"/>
        <v>0</v>
      </c>
      <c r="L247" s="168">
        <f t="shared" si="108"/>
        <v>0</v>
      </c>
      <c r="M247" s="173">
        <f t="shared" ref="M247" si="110">J247-F247</f>
        <v>2.7690000000000001</v>
      </c>
      <c r="N247" s="174" t="e">
        <f t="shared" ref="N247" si="111">M247/F247</f>
        <v>#DIV/0!</v>
      </c>
      <c r="O247" s="287" t="s">
        <v>385</v>
      </c>
      <c r="P247" s="151"/>
    </row>
    <row r="248" spans="1:16" s="162" customFormat="1">
      <c r="A248" s="165" t="s">
        <v>803</v>
      </c>
      <c r="B248" s="189" t="s">
        <v>804</v>
      </c>
      <c r="C248" s="167" t="s">
        <v>476</v>
      </c>
      <c r="D248" s="168">
        <v>0</v>
      </c>
      <c r="E248" s="168">
        <v>0</v>
      </c>
      <c r="F248" s="168">
        <v>0</v>
      </c>
      <c r="G248" s="168"/>
      <c r="H248" s="168"/>
      <c r="I248" s="168"/>
      <c r="J248" s="168"/>
      <c r="K248" s="168">
        <v>0</v>
      </c>
      <c r="L248" s="168">
        <v>0</v>
      </c>
      <c r="M248" s="168"/>
      <c r="N248" s="168"/>
      <c r="O248" s="176"/>
      <c r="P248" s="151"/>
    </row>
    <row r="249" spans="1:16" s="162" customFormat="1">
      <c r="A249" s="165" t="s">
        <v>805</v>
      </c>
      <c r="B249" s="189" t="s">
        <v>806</v>
      </c>
      <c r="C249" s="167" t="s">
        <v>476</v>
      </c>
      <c r="D249" s="168">
        <v>0</v>
      </c>
      <c r="E249" s="168">
        <v>0</v>
      </c>
      <c r="F249" s="168">
        <v>0</v>
      </c>
      <c r="G249" s="168"/>
      <c r="H249" s="168"/>
      <c r="I249" s="168"/>
      <c r="J249" s="168"/>
      <c r="K249" s="168">
        <v>0</v>
      </c>
      <c r="L249" s="168">
        <v>0</v>
      </c>
      <c r="M249" s="168"/>
      <c r="N249" s="168"/>
      <c r="O249" s="176"/>
      <c r="P249" s="151"/>
    </row>
    <row r="250" spans="1:16" s="162" customFormat="1">
      <c r="A250" s="165" t="s">
        <v>807</v>
      </c>
      <c r="B250" s="189" t="s">
        <v>808</v>
      </c>
      <c r="C250" s="167" t="s">
        <v>476</v>
      </c>
      <c r="D250" s="168">
        <v>0</v>
      </c>
      <c r="E250" s="168">
        <v>0</v>
      </c>
      <c r="F250" s="168">
        <v>0</v>
      </c>
      <c r="G250" s="168"/>
      <c r="H250" s="168"/>
      <c r="I250" s="168"/>
      <c r="J250" s="168"/>
      <c r="K250" s="168">
        <v>0</v>
      </c>
      <c r="L250" s="168">
        <v>0</v>
      </c>
      <c r="M250" s="168"/>
      <c r="N250" s="168"/>
      <c r="O250" s="176"/>
      <c r="P250" s="151"/>
    </row>
    <row r="251" spans="1:16" s="162" customFormat="1" ht="31.5">
      <c r="A251" s="165" t="s">
        <v>809</v>
      </c>
      <c r="B251" s="189" t="s">
        <v>810</v>
      </c>
      <c r="C251" s="167" t="s">
        <v>476</v>
      </c>
      <c r="D251" s="186">
        <f>D243+D244+D247+D250</f>
        <v>0.16700000000000692</v>
      </c>
      <c r="E251" s="186">
        <f>E243+E244+E247+E250</f>
        <v>5.4299999999999971</v>
      </c>
      <c r="F251" s="186">
        <f t="shared" ref="F251:L251" si="112">F243+F244+F247+F250</f>
        <v>3.6385399999999741</v>
      </c>
      <c r="G251" s="186">
        <f t="shared" si="112"/>
        <v>-1.2597800000000028</v>
      </c>
      <c r="H251" s="186">
        <f t="shared" si="112"/>
        <v>1.16895999999999</v>
      </c>
      <c r="I251" s="186">
        <f t="shared" ref="I251:J251" si="113">I243+I244+I247+I250</f>
        <v>-9.0491599999999828</v>
      </c>
      <c r="J251" s="186">
        <f t="shared" si="113"/>
        <v>4.799999999999649E-2</v>
      </c>
      <c r="K251" s="186">
        <f t="shared" si="112"/>
        <v>-0.51882000000007622</v>
      </c>
      <c r="L251" s="186">
        <f t="shared" si="112"/>
        <v>-0.51882000000007622</v>
      </c>
      <c r="M251" s="272">
        <f t="shared" ref="M251:M253" si="114">J251-F251</f>
        <v>-3.5905399999999776</v>
      </c>
      <c r="N251" s="312">
        <f t="shared" ref="N251:N253" si="115">M251/F251</f>
        <v>-0.98680789547455938</v>
      </c>
      <c r="O251" s="313" t="s">
        <v>385</v>
      </c>
      <c r="P251" s="151"/>
    </row>
    <row r="252" spans="1:16" s="162" customFormat="1">
      <c r="A252" s="165" t="s">
        <v>811</v>
      </c>
      <c r="B252" s="189" t="s">
        <v>812</v>
      </c>
      <c r="C252" s="167" t="s">
        <v>476</v>
      </c>
      <c r="D252" s="171">
        <v>0.111</v>
      </c>
      <c r="E252" s="186">
        <v>0.27800000000000002</v>
      </c>
      <c r="F252" s="186">
        <v>8.6999999999999994E-2</v>
      </c>
      <c r="G252" s="186">
        <f>F252</f>
        <v>8.6999999999999994E-2</v>
      </c>
      <c r="H252" s="186">
        <v>0.38200000000000001</v>
      </c>
      <c r="I252" s="186">
        <f>H252</f>
        <v>0.38200000000000001</v>
      </c>
      <c r="J252" s="186">
        <f>F252</f>
        <v>8.6999999999999994E-2</v>
      </c>
      <c r="K252" s="186">
        <f>F253</f>
        <v>3.7255399999999743</v>
      </c>
      <c r="L252" s="186">
        <f>K252</f>
        <v>3.7255399999999743</v>
      </c>
      <c r="M252" s="272">
        <f t="shared" si="114"/>
        <v>0</v>
      </c>
      <c r="N252" s="312">
        <f t="shared" si="115"/>
        <v>0</v>
      </c>
      <c r="O252" s="313" t="s">
        <v>385</v>
      </c>
      <c r="P252" s="151"/>
    </row>
    <row r="253" spans="1:16" s="162" customFormat="1" ht="16.5" thickBot="1">
      <c r="A253" s="190" t="s">
        <v>813</v>
      </c>
      <c r="B253" s="204" t="s">
        <v>814</v>
      </c>
      <c r="C253" s="192" t="s">
        <v>476</v>
      </c>
      <c r="D253" s="314">
        <v>0.27800000000000002</v>
      </c>
      <c r="E253" s="315">
        <v>5.7080000000000002</v>
      </c>
      <c r="F253" s="315">
        <f>F252+F251</f>
        <v>3.7255399999999743</v>
      </c>
      <c r="G253" s="315">
        <f>G252+G251</f>
        <v>-1.1727800000000028</v>
      </c>
      <c r="H253" s="315">
        <v>1.552</v>
      </c>
      <c r="I253" s="315">
        <f>I252+I251</f>
        <v>-8.6671599999999831</v>
      </c>
      <c r="J253" s="315">
        <f>J251+J252</f>
        <v>0.13499999999999648</v>
      </c>
      <c r="K253" s="315">
        <f>K252+K251</f>
        <v>3.2067199999998981</v>
      </c>
      <c r="L253" s="315">
        <f>K253</f>
        <v>3.2067199999998981</v>
      </c>
      <c r="M253" s="272">
        <f t="shared" si="114"/>
        <v>-3.5905399999999776</v>
      </c>
      <c r="N253" s="312">
        <f t="shared" si="115"/>
        <v>-0.96376364231762435</v>
      </c>
      <c r="O253" s="313" t="s">
        <v>385</v>
      </c>
      <c r="P253" s="151"/>
    </row>
    <row r="254" spans="1:16" s="162" customFormat="1">
      <c r="A254" s="163" t="s">
        <v>815</v>
      </c>
      <c r="B254" s="164" t="s">
        <v>564</v>
      </c>
      <c r="C254" s="316" t="s">
        <v>284</v>
      </c>
      <c r="D254" s="317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9"/>
      <c r="P254" s="151"/>
    </row>
    <row r="255" spans="1:16" s="162" customFormat="1">
      <c r="A255" s="165" t="s">
        <v>816</v>
      </c>
      <c r="B255" s="189" t="s">
        <v>817</v>
      </c>
      <c r="C255" s="167" t="s">
        <v>476</v>
      </c>
      <c r="D255" s="186">
        <v>37.270000000000003</v>
      </c>
      <c r="E255" s="171">
        <v>23.460999999999999</v>
      </c>
      <c r="F255" s="205">
        <v>0</v>
      </c>
      <c r="G255" s="205">
        <v>0</v>
      </c>
      <c r="H255" s="186">
        <v>22.202999999999999</v>
      </c>
      <c r="I255" s="205">
        <v>0</v>
      </c>
      <c r="J255" s="186">
        <v>20.361999999999998</v>
      </c>
      <c r="K255" s="171">
        <v>0</v>
      </c>
      <c r="L255" s="171">
        <v>0</v>
      </c>
      <c r="M255" s="173"/>
      <c r="N255" s="174"/>
      <c r="O255" s="287" t="s">
        <v>385</v>
      </c>
      <c r="P255" s="151"/>
    </row>
    <row r="256" spans="1:16" s="162" customFormat="1">
      <c r="A256" s="165" t="s">
        <v>818</v>
      </c>
      <c r="B256" s="210" t="s">
        <v>819</v>
      </c>
      <c r="C256" s="167" t="s">
        <v>476</v>
      </c>
      <c r="D256" s="168">
        <v>0</v>
      </c>
      <c r="E256" s="168">
        <v>0</v>
      </c>
      <c r="F256" s="168">
        <v>0</v>
      </c>
      <c r="G256" s="168"/>
      <c r="H256" s="168"/>
      <c r="I256" s="168"/>
      <c r="J256" s="168"/>
      <c r="K256" s="168">
        <v>0</v>
      </c>
      <c r="L256" s="168">
        <v>0</v>
      </c>
      <c r="M256" s="168"/>
      <c r="N256" s="168"/>
      <c r="O256" s="176"/>
      <c r="P256" s="151"/>
    </row>
    <row r="257" spans="1:16" s="162" customFormat="1">
      <c r="A257" s="165" t="s">
        <v>820</v>
      </c>
      <c r="B257" s="210" t="s">
        <v>821</v>
      </c>
      <c r="C257" s="167" t="s">
        <v>476</v>
      </c>
      <c r="D257" s="168">
        <v>0</v>
      </c>
      <c r="E257" s="168">
        <v>0</v>
      </c>
      <c r="F257" s="168">
        <v>0</v>
      </c>
      <c r="G257" s="168"/>
      <c r="H257" s="168"/>
      <c r="I257" s="168"/>
      <c r="J257" s="168"/>
      <c r="K257" s="168">
        <v>0</v>
      </c>
      <c r="L257" s="168">
        <v>0</v>
      </c>
      <c r="M257" s="168"/>
      <c r="N257" s="168"/>
      <c r="O257" s="176"/>
      <c r="P257" s="151"/>
    </row>
    <row r="258" spans="1:16" s="162" customFormat="1" ht="31.5">
      <c r="A258" s="165" t="s">
        <v>822</v>
      </c>
      <c r="B258" s="210" t="s">
        <v>823</v>
      </c>
      <c r="C258" s="167" t="s">
        <v>476</v>
      </c>
      <c r="D258" s="168">
        <v>0</v>
      </c>
      <c r="E258" s="168">
        <v>0</v>
      </c>
      <c r="F258" s="168">
        <v>0</v>
      </c>
      <c r="G258" s="168"/>
      <c r="H258" s="168"/>
      <c r="I258" s="168"/>
      <c r="J258" s="168"/>
      <c r="K258" s="168">
        <v>0</v>
      </c>
      <c r="L258" s="168">
        <v>0</v>
      </c>
      <c r="M258" s="168"/>
      <c r="N258" s="168"/>
      <c r="O258" s="176"/>
      <c r="P258" s="151"/>
    </row>
    <row r="259" spans="1:16" s="162" customFormat="1">
      <c r="A259" s="165" t="s">
        <v>824</v>
      </c>
      <c r="B259" s="189" t="s">
        <v>821</v>
      </c>
      <c r="C259" s="167" t="s">
        <v>476</v>
      </c>
      <c r="D259" s="168">
        <v>0</v>
      </c>
      <c r="E259" s="168">
        <v>0</v>
      </c>
      <c r="F259" s="168">
        <v>0</v>
      </c>
      <c r="G259" s="168"/>
      <c r="H259" s="168"/>
      <c r="I259" s="168"/>
      <c r="J259" s="168"/>
      <c r="K259" s="168">
        <v>0</v>
      </c>
      <c r="L259" s="168">
        <v>0</v>
      </c>
      <c r="M259" s="168"/>
      <c r="N259" s="168"/>
      <c r="O259" s="176"/>
      <c r="P259" s="151"/>
    </row>
    <row r="260" spans="1:16" s="162" customFormat="1" ht="31.5">
      <c r="A260" s="165" t="s">
        <v>825</v>
      </c>
      <c r="B260" s="210" t="s">
        <v>482</v>
      </c>
      <c r="C260" s="167" t="s">
        <v>476</v>
      </c>
      <c r="D260" s="168">
        <v>0</v>
      </c>
      <c r="E260" s="168">
        <v>0</v>
      </c>
      <c r="F260" s="168">
        <v>0</v>
      </c>
      <c r="G260" s="168"/>
      <c r="H260" s="168"/>
      <c r="I260" s="168"/>
      <c r="J260" s="168"/>
      <c r="K260" s="168">
        <v>0</v>
      </c>
      <c r="L260" s="168">
        <v>0</v>
      </c>
      <c r="M260" s="168"/>
      <c r="N260" s="168"/>
      <c r="O260" s="176"/>
      <c r="P260" s="151"/>
    </row>
    <row r="261" spans="1:16" s="162" customFormat="1">
      <c r="A261" s="165" t="s">
        <v>826</v>
      </c>
      <c r="B261" s="189" t="s">
        <v>821</v>
      </c>
      <c r="C261" s="167" t="s">
        <v>476</v>
      </c>
      <c r="D261" s="168">
        <v>0</v>
      </c>
      <c r="E261" s="168">
        <v>0</v>
      </c>
      <c r="F261" s="168">
        <v>0</v>
      </c>
      <c r="G261" s="168"/>
      <c r="H261" s="168"/>
      <c r="I261" s="168"/>
      <c r="J261" s="168"/>
      <c r="K261" s="168">
        <v>0</v>
      </c>
      <c r="L261" s="168">
        <v>0</v>
      </c>
      <c r="M261" s="168"/>
      <c r="N261" s="168"/>
      <c r="O261" s="176"/>
      <c r="P261" s="151"/>
    </row>
    <row r="262" spans="1:16" s="162" customFormat="1" ht="31.5">
      <c r="A262" s="165" t="s">
        <v>827</v>
      </c>
      <c r="B262" s="210" t="s">
        <v>484</v>
      </c>
      <c r="C262" s="167" t="s">
        <v>476</v>
      </c>
      <c r="D262" s="168">
        <v>0</v>
      </c>
      <c r="E262" s="168">
        <v>0</v>
      </c>
      <c r="F262" s="168">
        <v>0</v>
      </c>
      <c r="G262" s="168"/>
      <c r="H262" s="168"/>
      <c r="I262" s="168"/>
      <c r="J262" s="168"/>
      <c r="K262" s="168">
        <v>0</v>
      </c>
      <c r="L262" s="168">
        <v>0</v>
      </c>
      <c r="M262" s="168"/>
      <c r="N262" s="168"/>
      <c r="O262" s="176"/>
      <c r="P262" s="151"/>
    </row>
    <row r="263" spans="1:16" s="162" customFormat="1">
      <c r="A263" s="165" t="s">
        <v>828</v>
      </c>
      <c r="B263" s="189" t="s">
        <v>821</v>
      </c>
      <c r="C263" s="167" t="s">
        <v>476</v>
      </c>
      <c r="D263" s="168">
        <v>0</v>
      </c>
      <c r="E263" s="168">
        <v>0</v>
      </c>
      <c r="F263" s="168">
        <v>0</v>
      </c>
      <c r="G263" s="168"/>
      <c r="H263" s="168"/>
      <c r="I263" s="168"/>
      <c r="J263" s="168"/>
      <c r="K263" s="168">
        <v>0</v>
      </c>
      <c r="L263" s="168">
        <v>0</v>
      </c>
      <c r="M263" s="168"/>
      <c r="N263" s="168"/>
      <c r="O263" s="176"/>
      <c r="P263" s="151"/>
    </row>
    <row r="264" spans="1:16" s="162" customFormat="1">
      <c r="A264" s="165" t="s">
        <v>829</v>
      </c>
      <c r="B264" s="210" t="s">
        <v>830</v>
      </c>
      <c r="C264" s="167" t="s">
        <v>476</v>
      </c>
      <c r="D264" s="168">
        <v>0</v>
      </c>
      <c r="E264" s="168">
        <v>0</v>
      </c>
      <c r="F264" s="168">
        <v>0</v>
      </c>
      <c r="G264" s="168"/>
      <c r="H264" s="168"/>
      <c r="I264" s="168"/>
      <c r="J264" s="168"/>
      <c r="K264" s="168">
        <v>0</v>
      </c>
      <c r="L264" s="168">
        <v>0</v>
      </c>
      <c r="M264" s="168"/>
      <c r="N264" s="168"/>
      <c r="O264" s="176"/>
      <c r="P264" s="151"/>
    </row>
    <row r="265" spans="1:16" s="162" customFormat="1">
      <c r="A265" s="165" t="s">
        <v>831</v>
      </c>
      <c r="B265" s="210" t="s">
        <v>821</v>
      </c>
      <c r="C265" s="167" t="s">
        <v>476</v>
      </c>
      <c r="D265" s="168">
        <v>0</v>
      </c>
      <c r="E265" s="168">
        <v>0</v>
      </c>
      <c r="F265" s="168">
        <v>0</v>
      </c>
      <c r="G265" s="168"/>
      <c r="H265" s="168"/>
      <c r="I265" s="168"/>
      <c r="J265" s="168"/>
      <c r="K265" s="168">
        <v>0</v>
      </c>
      <c r="L265" s="168">
        <v>0</v>
      </c>
      <c r="M265" s="168"/>
      <c r="N265" s="168"/>
      <c r="O265" s="176"/>
      <c r="P265" s="151"/>
    </row>
    <row r="266" spans="1:16" s="162" customFormat="1">
      <c r="A266" s="165" t="s">
        <v>832</v>
      </c>
      <c r="B266" s="166" t="s">
        <v>833</v>
      </c>
      <c r="C266" s="167" t="s">
        <v>476</v>
      </c>
      <c r="D266" s="171">
        <v>37.018000000000001</v>
      </c>
      <c r="E266" s="171">
        <v>21.969000000000001</v>
      </c>
      <c r="F266" s="205">
        <v>0</v>
      </c>
      <c r="G266" s="205">
        <v>0</v>
      </c>
      <c r="H266" s="186">
        <v>20.957999999999998</v>
      </c>
      <c r="I266" s="205">
        <v>0</v>
      </c>
      <c r="J266" s="186">
        <v>19.167999999999999</v>
      </c>
      <c r="K266" s="205">
        <f>H266</f>
        <v>20.957999999999998</v>
      </c>
      <c r="L266" s="205">
        <f t="shared" ref="L266" si="116">K266</f>
        <v>20.957999999999998</v>
      </c>
      <c r="M266" s="173"/>
      <c r="N266" s="174"/>
      <c r="O266" s="287" t="s">
        <v>385</v>
      </c>
      <c r="P266" s="151"/>
    </row>
    <row r="267" spans="1:16" s="162" customFormat="1">
      <c r="A267" s="165" t="s">
        <v>834</v>
      </c>
      <c r="B267" s="210" t="s">
        <v>821</v>
      </c>
      <c r="C267" s="167" t="s">
        <v>476</v>
      </c>
      <c r="D267" s="168">
        <v>0</v>
      </c>
      <c r="E267" s="168">
        <v>0</v>
      </c>
      <c r="F267" s="168">
        <v>0</v>
      </c>
      <c r="G267" s="168">
        <v>0</v>
      </c>
      <c r="H267" s="168">
        <v>0</v>
      </c>
      <c r="I267" s="168">
        <v>0</v>
      </c>
      <c r="J267" s="186">
        <v>6.3979999999999997</v>
      </c>
      <c r="K267" s="171"/>
      <c r="L267" s="171"/>
      <c r="M267" s="171"/>
      <c r="N267" s="171"/>
      <c r="O267" s="289"/>
      <c r="P267" s="151"/>
    </row>
    <row r="268" spans="1:16" s="162" customFormat="1">
      <c r="A268" s="165" t="s">
        <v>835</v>
      </c>
      <c r="B268" s="166" t="s">
        <v>836</v>
      </c>
      <c r="C268" s="167" t="s">
        <v>476</v>
      </c>
      <c r="D268" s="168">
        <v>0</v>
      </c>
      <c r="E268" s="168">
        <v>0</v>
      </c>
      <c r="F268" s="168">
        <v>0</v>
      </c>
      <c r="G268" s="168">
        <v>0</v>
      </c>
      <c r="H268" s="168">
        <v>0</v>
      </c>
      <c r="I268" s="168">
        <v>0</v>
      </c>
      <c r="J268" s="168">
        <v>0</v>
      </c>
      <c r="K268" s="168">
        <v>0</v>
      </c>
      <c r="L268" s="168">
        <v>0</v>
      </c>
      <c r="M268" s="168"/>
      <c r="N268" s="168"/>
      <c r="O268" s="176"/>
      <c r="P268" s="151"/>
    </row>
    <row r="269" spans="1:16" s="162" customFormat="1">
      <c r="A269" s="165" t="s">
        <v>837</v>
      </c>
      <c r="B269" s="210" t="s">
        <v>821</v>
      </c>
      <c r="C269" s="167" t="s">
        <v>476</v>
      </c>
      <c r="D269" s="168">
        <v>0</v>
      </c>
      <c r="E269" s="168">
        <v>0</v>
      </c>
      <c r="F269" s="168">
        <v>0</v>
      </c>
      <c r="G269" s="168">
        <v>0</v>
      </c>
      <c r="H269" s="168">
        <v>0</v>
      </c>
      <c r="I269" s="168">
        <v>0</v>
      </c>
      <c r="J269" s="168">
        <v>0</v>
      </c>
      <c r="K269" s="168">
        <v>0</v>
      </c>
      <c r="L269" s="168">
        <v>0</v>
      </c>
      <c r="M269" s="168"/>
      <c r="N269" s="168"/>
      <c r="O269" s="176"/>
      <c r="P269" s="151"/>
    </row>
    <row r="270" spans="1:16" s="162" customFormat="1">
      <c r="A270" s="165" t="s">
        <v>838</v>
      </c>
      <c r="B270" s="166" t="s">
        <v>839</v>
      </c>
      <c r="C270" s="167" t="s">
        <v>476</v>
      </c>
      <c r="D270" s="168">
        <v>0</v>
      </c>
      <c r="E270" s="168">
        <v>0</v>
      </c>
      <c r="F270" s="168">
        <v>0</v>
      </c>
      <c r="G270" s="168">
        <v>0</v>
      </c>
      <c r="H270" s="168">
        <v>0</v>
      </c>
      <c r="I270" s="168">
        <v>0</v>
      </c>
      <c r="J270" s="168">
        <v>0</v>
      </c>
      <c r="K270" s="168">
        <v>0</v>
      </c>
      <c r="L270" s="168">
        <v>0</v>
      </c>
      <c r="M270" s="168"/>
      <c r="N270" s="168"/>
      <c r="O270" s="176"/>
      <c r="P270" s="151"/>
    </row>
    <row r="271" spans="1:16" s="162" customFormat="1">
      <c r="A271" s="165" t="s">
        <v>840</v>
      </c>
      <c r="B271" s="210" t="s">
        <v>821</v>
      </c>
      <c r="C271" s="167" t="s">
        <v>476</v>
      </c>
      <c r="D271" s="168">
        <v>0</v>
      </c>
      <c r="E271" s="168">
        <v>0</v>
      </c>
      <c r="F271" s="168">
        <v>0</v>
      </c>
      <c r="G271" s="168">
        <v>0</v>
      </c>
      <c r="H271" s="168">
        <v>0</v>
      </c>
      <c r="I271" s="168">
        <v>0</v>
      </c>
      <c r="J271" s="168">
        <v>0</v>
      </c>
      <c r="K271" s="168">
        <v>0</v>
      </c>
      <c r="L271" s="168">
        <v>0</v>
      </c>
      <c r="M271" s="168"/>
      <c r="N271" s="168"/>
      <c r="O271" s="176"/>
      <c r="P271" s="151"/>
    </row>
    <row r="272" spans="1:16" s="162" customFormat="1">
      <c r="A272" s="165" t="s">
        <v>841</v>
      </c>
      <c r="B272" s="166" t="s">
        <v>842</v>
      </c>
      <c r="C272" s="167" t="s">
        <v>476</v>
      </c>
      <c r="D272" s="168">
        <v>0</v>
      </c>
      <c r="E272" s="168">
        <v>0</v>
      </c>
      <c r="F272" s="168">
        <v>0</v>
      </c>
      <c r="G272" s="168">
        <v>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/>
      <c r="N272" s="168"/>
      <c r="O272" s="176"/>
      <c r="P272" s="151"/>
    </row>
    <row r="273" spans="1:16" s="162" customFormat="1">
      <c r="A273" s="165" t="s">
        <v>843</v>
      </c>
      <c r="B273" s="210" t="s">
        <v>821</v>
      </c>
      <c r="C273" s="167" t="s">
        <v>476</v>
      </c>
      <c r="D273" s="168">
        <v>0</v>
      </c>
      <c r="E273" s="168">
        <v>0</v>
      </c>
      <c r="F273" s="168">
        <v>0</v>
      </c>
      <c r="G273" s="168">
        <v>0</v>
      </c>
      <c r="H273" s="168">
        <v>0</v>
      </c>
      <c r="I273" s="168">
        <v>0</v>
      </c>
      <c r="J273" s="168">
        <v>0</v>
      </c>
      <c r="K273" s="168">
        <v>0</v>
      </c>
      <c r="L273" s="168">
        <v>0</v>
      </c>
      <c r="M273" s="168"/>
      <c r="N273" s="168"/>
      <c r="O273" s="176"/>
      <c r="P273" s="151"/>
    </row>
    <row r="274" spans="1:16" s="162" customFormat="1">
      <c r="A274" s="165" t="s">
        <v>844</v>
      </c>
      <c r="B274" s="166" t="s">
        <v>845</v>
      </c>
      <c r="C274" s="167" t="s">
        <v>476</v>
      </c>
      <c r="D274" s="168">
        <v>0</v>
      </c>
      <c r="E274" s="168">
        <v>0</v>
      </c>
      <c r="F274" s="168">
        <v>0</v>
      </c>
      <c r="G274" s="168">
        <v>0</v>
      </c>
      <c r="H274" s="168">
        <v>0</v>
      </c>
      <c r="I274" s="168">
        <v>0</v>
      </c>
      <c r="J274" s="168">
        <v>0</v>
      </c>
      <c r="K274" s="168">
        <v>0</v>
      </c>
      <c r="L274" s="168">
        <v>0</v>
      </c>
      <c r="M274" s="168"/>
      <c r="N274" s="168"/>
      <c r="O274" s="176"/>
      <c r="P274" s="151"/>
    </row>
    <row r="275" spans="1:16" s="162" customFormat="1">
      <c r="A275" s="165" t="s">
        <v>846</v>
      </c>
      <c r="B275" s="210" t="s">
        <v>821</v>
      </c>
      <c r="C275" s="167" t="s">
        <v>476</v>
      </c>
      <c r="D275" s="168">
        <v>0</v>
      </c>
      <c r="E275" s="168">
        <v>0</v>
      </c>
      <c r="F275" s="168">
        <v>0</v>
      </c>
      <c r="G275" s="168">
        <v>0</v>
      </c>
      <c r="H275" s="168">
        <v>0</v>
      </c>
      <c r="I275" s="168">
        <v>0</v>
      </c>
      <c r="J275" s="168">
        <v>0</v>
      </c>
      <c r="K275" s="168">
        <v>0</v>
      </c>
      <c r="L275" s="168">
        <v>0</v>
      </c>
      <c r="M275" s="168"/>
      <c r="N275" s="168"/>
      <c r="O275" s="176"/>
      <c r="P275" s="151"/>
    </row>
    <row r="276" spans="1:16" s="162" customFormat="1" ht="31.5">
      <c r="A276" s="165" t="s">
        <v>847</v>
      </c>
      <c r="B276" s="210" t="s">
        <v>848</v>
      </c>
      <c r="C276" s="167" t="s">
        <v>476</v>
      </c>
      <c r="D276" s="168">
        <v>0</v>
      </c>
      <c r="E276" s="168">
        <v>0</v>
      </c>
      <c r="F276" s="168">
        <v>0</v>
      </c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168"/>
      <c r="N276" s="168"/>
      <c r="O276" s="176"/>
      <c r="P276" s="151"/>
    </row>
    <row r="277" spans="1:16" s="162" customFormat="1">
      <c r="A277" s="165" t="s">
        <v>849</v>
      </c>
      <c r="B277" s="210" t="s">
        <v>821</v>
      </c>
      <c r="C277" s="167" t="s">
        <v>476</v>
      </c>
      <c r="D277" s="168">
        <v>0</v>
      </c>
      <c r="E277" s="168">
        <v>0</v>
      </c>
      <c r="F277" s="168">
        <v>0</v>
      </c>
      <c r="G277" s="168">
        <v>0</v>
      </c>
      <c r="H277" s="168">
        <v>0</v>
      </c>
      <c r="I277" s="168">
        <v>0</v>
      </c>
      <c r="J277" s="168">
        <v>0</v>
      </c>
      <c r="K277" s="168">
        <v>0</v>
      </c>
      <c r="L277" s="168">
        <v>0</v>
      </c>
      <c r="M277" s="168"/>
      <c r="N277" s="168"/>
      <c r="O277" s="176"/>
      <c r="P277" s="151"/>
    </row>
    <row r="278" spans="1:16" s="162" customFormat="1">
      <c r="A278" s="165" t="s">
        <v>850</v>
      </c>
      <c r="B278" s="210" t="s">
        <v>497</v>
      </c>
      <c r="C278" s="167" t="s">
        <v>476</v>
      </c>
      <c r="D278" s="168">
        <v>0</v>
      </c>
      <c r="E278" s="168">
        <v>0</v>
      </c>
      <c r="F278" s="168">
        <v>0</v>
      </c>
      <c r="G278" s="168">
        <v>0</v>
      </c>
      <c r="H278" s="168">
        <v>0</v>
      </c>
      <c r="I278" s="168">
        <v>0</v>
      </c>
      <c r="J278" s="168">
        <v>0</v>
      </c>
      <c r="K278" s="168">
        <v>0</v>
      </c>
      <c r="L278" s="168">
        <v>0</v>
      </c>
      <c r="M278" s="168"/>
      <c r="N278" s="168"/>
      <c r="O278" s="176"/>
      <c r="P278" s="151"/>
    </row>
    <row r="279" spans="1:16" s="162" customFormat="1">
      <c r="A279" s="165" t="s">
        <v>851</v>
      </c>
      <c r="B279" s="189" t="s">
        <v>821</v>
      </c>
      <c r="C279" s="167" t="s">
        <v>476</v>
      </c>
      <c r="D279" s="168">
        <v>0</v>
      </c>
      <c r="E279" s="168">
        <v>0</v>
      </c>
      <c r="F279" s="168">
        <v>0</v>
      </c>
      <c r="G279" s="168">
        <v>0</v>
      </c>
      <c r="H279" s="168">
        <v>0</v>
      </c>
      <c r="I279" s="168">
        <v>0</v>
      </c>
      <c r="J279" s="168">
        <v>0</v>
      </c>
      <c r="K279" s="168">
        <v>0</v>
      </c>
      <c r="L279" s="168">
        <v>0</v>
      </c>
      <c r="M279" s="168"/>
      <c r="N279" s="168"/>
      <c r="O279" s="176"/>
      <c r="P279" s="151"/>
    </row>
    <row r="280" spans="1:16" s="162" customFormat="1">
      <c r="A280" s="165" t="s">
        <v>852</v>
      </c>
      <c r="B280" s="210" t="s">
        <v>499</v>
      </c>
      <c r="C280" s="167" t="s">
        <v>476</v>
      </c>
      <c r="D280" s="168">
        <v>0</v>
      </c>
      <c r="E280" s="168">
        <v>0</v>
      </c>
      <c r="F280" s="168">
        <v>0</v>
      </c>
      <c r="G280" s="168">
        <v>0</v>
      </c>
      <c r="H280" s="168">
        <v>0</v>
      </c>
      <c r="I280" s="168">
        <v>0</v>
      </c>
      <c r="J280" s="168">
        <v>0</v>
      </c>
      <c r="K280" s="168">
        <v>0</v>
      </c>
      <c r="L280" s="168">
        <v>0</v>
      </c>
      <c r="M280" s="168"/>
      <c r="N280" s="168"/>
      <c r="O280" s="176"/>
      <c r="P280" s="151"/>
    </row>
    <row r="281" spans="1:16" s="162" customFormat="1">
      <c r="A281" s="165" t="s">
        <v>853</v>
      </c>
      <c r="B281" s="189" t="s">
        <v>821</v>
      </c>
      <c r="C281" s="167" t="s">
        <v>476</v>
      </c>
      <c r="D281" s="168">
        <v>0</v>
      </c>
      <c r="E281" s="168">
        <v>0</v>
      </c>
      <c r="F281" s="168">
        <v>0</v>
      </c>
      <c r="G281" s="168">
        <v>0</v>
      </c>
      <c r="H281" s="168">
        <v>0</v>
      </c>
      <c r="I281" s="168">
        <v>0</v>
      </c>
      <c r="J281" s="168">
        <v>0</v>
      </c>
      <c r="K281" s="168">
        <v>0</v>
      </c>
      <c r="L281" s="168">
        <v>0</v>
      </c>
      <c r="M281" s="168"/>
      <c r="N281" s="168"/>
      <c r="O281" s="176"/>
      <c r="P281" s="151"/>
    </row>
    <row r="282" spans="1:16" s="162" customFormat="1">
      <c r="A282" s="165" t="s">
        <v>854</v>
      </c>
      <c r="B282" s="210" t="s">
        <v>855</v>
      </c>
      <c r="C282" s="167" t="s">
        <v>476</v>
      </c>
      <c r="D282" s="186">
        <f>D255-D266</f>
        <v>0.25200000000000244</v>
      </c>
      <c r="E282" s="186">
        <f t="shared" ref="E282:L282" si="117">E255-E266</f>
        <v>1.4919999999999973</v>
      </c>
      <c r="F282" s="186">
        <f t="shared" si="117"/>
        <v>0</v>
      </c>
      <c r="G282" s="186">
        <f t="shared" si="117"/>
        <v>0</v>
      </c>
      <c r="H282" s="186">
        <v>1.2450000000000001</v>
      </c>
      <c r="I282" s="186">
        <f t="shared" ref="I282" si="118">I255-I266</f>
        <v>0</v>
      </c>
      <c r="J282" s="186">
        <v>1.194</v>
      </c>
      <c r="K282" s="186">
        <f t="shared" si="117"/>
        <v>-20.957999999999998</v>
      </c>
      <c r="L282" s="186">
        <f t="shared" si="117"/>
        <v>-20.957999999999998</v>
      </c>
      <c r="M282" s="173">
        <f t="shared" ref="M282" si="119">J282-F282</f>
        <v>1.194</v>
      </c>
      <c r="N282" s="174" t="e">
        <f t="shared" ref="N282" si="120">M282/F282</f>
        <v>#DIV/0!</v>
      </c>
      <c r="O282" s="287" t="s">
        <v>385</v>
      </c>
      <c r="P282" s="151"/>
    </row>
    <row r="283" spans="1:16" s="162" customFormat="1">
      <c r="A283" s="165" t="s">
        <v>856</v>
      </c>
      <c r="B283" s="210" t="s">
        <v>821</v>
      </c>
      <c r="C283" s="167" t="s">
        <v>476</v>
      </c>
      <c r="D283" s="168">
        <v>0</v>
      </c>
      <c r="E283" s="168">
        <v>0</v>
      </c>
      <c r="F283" s="168">
        <v>0</v>
      </c>
      <c r="G283" s="168">
        <v>0</v>
      </c>
      <c r="H283" s="168">
        <v>0</v>
      </c>
      <c r="I283" s="168">
        <v>0</v>
      </c>
      <c r="J283" s="168">
        <v>0</v>
      </c>
      <c r="K283" s="168">
        <v>0</v>
      </c>
      <c r="L283" s="168">
        <v>0</v>
      </c>
      <c r="M283" s="173"/>
      <c r="N283" s="174"/>
      <c r="O283" s="289"/>
      <c r="P283" s="151"/>
    </row>
    <row r="284" spans="1:16" s="162" customFormat="1">
      <c r="A284" s="165" t="s">
        <v>857</v>
      </c>
      <c r="B284" s="189" t="s">
        <v>858</v>
      </c>
      <c r="C284" s="167" t="s">
        <v>476</v>
      </c>
      <c r="D284" s="186">
        <v>62.26</v>
      </c>
      <c r="E284" s="171">
        <v>44.292000000000002</v>
      </c>
      <c r="F284" s="168">
        <v>0</v>
      </c>
      <c r="G284" s="168">
        <v>0</v>
      </c>
      <c r="H284" s="186">
        <v>38.707999999999998</v>
      </c>
      <c r="I284" s="168">
        <v>0</v>
      </c>
      <c r="J284" s="186">
        <v>42.811</v>
      </c>
      <c r="K284" s="171">
        <v>0</v>
      </c>
      <c r="L284" s="171">
        <v>0</v>
      </c>
      <c r="M284" s="173">
        <f t="shared" ref="M284" si="121">J284-F284</f>
        <v>42.811</v>
      </c>
      <c r="N284" s="174" t="e">
        <f t="shared" ref="N284" si="122">M284/F284</f>
        <v>#DIV/0!</v>
      </c>
      <c r="O284" s="287" t="s">
        <v>385</v>
      </c>
      <c r="P284" s="151"/>
    </row>
    <row r="285" spans="1:16" s="162" customFormat="1">
      <c r="A285" s="165" t="s">
        <v>859</v>
      </c>
      <c r="B285" s="210" t="s">
        <v>860</v>
      </c>
      <c r="C285" s="167" t="s">
        <v>476</v>
      </c>
      <c r="D285" s="168">
        <v>0</v>
      </c>
      <c r="E285" s="168">
        <v>0</v>
      </c>
      <c r="F285" s="168">
        <v>0</v>
      </c>
      <c r="G285" s="168">
        <v>0</v>
      </c>
      <c r="H285" s="168">
        <v>0</v>
      </c>
      <c r="I285" s="168">
        <v>0</v>
      </c>
      <c r="J285" s="168">
        <v>0</v>
      </c>
      <c r="K285" s="168">
        <v>0</v>
      </c>
      <c r="L285" s="168">
        <v>0</v>
      </c>
      <c r="M285" s="168"/>
      <c r="N285" s="168"/>
      <c r="O285" s="176"/>
      <c r="P285" s="151"/>
    </row>
    <row r="286" spans="1:16" s="162" customFormat="1">
      <c r="A286" s="165" t="s">
        <v>861</v>
      </c>
      <c r="B286" s="210" t="s">
        <v>821</v>
      </c>
      <c r="C286" s="167" t="s">
        <v>476</v>
      </c>
      <c r="D286" s="168">
        <v>0</v>
      </c>
      <c r="E286" s="168">
        <v>0</v>
      </c>
      <c r="F286" s="168">
        <v>0</v>
      </c>
      <c r="G286" s="168">
        <v>0</v>
      </c>
      <c r="H286" s="168">
        <v>0</v>
      </c>
      <c r="I286" s="168">
        <v>0</v>
      </c>
      <c r="J286" s="168">
        <v>0</v>
      </c>
      <c r="K286" s="168">
        <v>0</v>
      </c>
      <c r="L286" s="168">
        <v>0</v>
      </c>
      <c r="M286" s="168"/>
      <c r="N286" s="168"/>
      <c r="O286" s="176"/>
      <c r="P286" s="151"/>
    </row>
    <row r="287" spans="1:16" s="162" customFormat="1">
      <c r="A287" s="165" t="s">
        <v>862</v>
      </c>
      <c r="B287" s="210" t="s">
        <v>863</v>
      </c>
      <c r="C287" s="167" t="s">
        <v>476</v>
      </c>
      <c r="D287" s="168">
        <v>0</v>
      </c>
      <c r="E287" s="168">
        <v>0</v>
      </c>
      <c r="F287" s="168">
        <v>0</v>
      </c>
      <c r="G287" s="168">
        <v>0</v>
      </c>
      <c r="H287" s="168">
        <v>0</v>
      </c>
      <c r="I287" s="168">
        <v>0</v>
      </c>
      <c r="J287" s="186">
        <v>2.7959999999999998</v>
      </c>
      <c r="K287" s="168">
        <v>0</v>
      </c>
      <c r="L287" s="168">
        <v>0</v>
      </c>
      <c r="M287" s="168"/>
      <c r="N287" s="168"/>
      <c r="O287" s="176"/>
      <c r="P287" s="151"/>
    </row>
    <row r="288" spans="1:16" s="162" customFormat="1">
      <c r="A288" s="165" t="s">
        <v>864</v>
      </c>
      <c r="B288" s="210" t="s">
        <v>691</v>
      </c>
      <c r="C288" s="167" t="s">
        <v>476</v>
      </c>
      <c r="D288" s="168">
        <v>0</v>
      </c>
      <c r="E288" s="168">
        <v>0</v>
      </c>
      <c r="F288" s="168"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168">
        <v>0</v>
      </c>
      <c r="M288" s="168"/>
      <c r="N288" s="168"/>
      <c r="O288" s="176"/>
      <c r="P288" s="151"/>
    </row>
    <row r="289" spans="1:16" s="162" customFormat="1">
      <c r="A289" s="165" t="s">
        <v>865</v>
      </c>
      <c r="B289" s="189" t="s">
        <v>821</v>
      </c>
      <c r="C289" s="167" t="s">
        <v>476</v>
      </c>
      <c r="D289" s="168">
        <v>0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168">
        <v>0</v>
      </c>
      <c r="M289" s="168"/>
      <c r="N289" s="168"/>
      <c r="O289" s="176"/>
      <c r="P289" s="151"/>
    </row>
    <row r="290" spans="1:16" s="162" customFormat="1">
      <c r="A290" s="165" t="s">
        <v>866</v>
      </c>
      <c r="B290" s="210" t="s">
        <v>867</v>
      </c>
      <c r="C290" s="167" t="s">
        <v>476</v>
      </c>
      <c r="D290" s="168">
        <v>0</v>
      </c>
      <c r="E290" s="168">
        <v>0</v>
      </c>
      <c r="F290" s="168">
        <v>0</v>
      </c>
      <c r="G290" s="168">
        <v>0</v>
      </c>
      <c r="H290" s="186">
        <v>2.556</v>
      </c>
      <c r="I290" s="168">
        <v>0</v>
      </c>
      <c r="J290" s="186">
        <v>2.7959999999999998</v>
      </c>
      <c r="K290" s="168">
        <v>0</v>
      </c>
      <c r="L290" s="168">
        <v>0</v>
      </c>
      <c r="M290" s="173">
        <f t="shared" ref="M290" si="123">J290-F290</f>
        <v>2.7959999999999998</v>
      </c>
      <c r="N290" s="174" t="e">
        <f t="shared" ref="N290" si="124">M290/F290</f>
        <v>#DIV/0!</v>
      </c>
      <c r="O290" s="287" t="s">
        <v>385</v>
      </c>
      <c r="P290" s="151"/>
    </row>
    <row r="291" spans="1:16" s="162" customFormat="1">
      <c r="A291" s="165" t="s">
        <v>868</v>
      </c>
      <c r="B291" s="189" t="s">
        <v>821</v>
      </c>
      <c r="C291" s="167" t="s">
        <v>476</v>
      </c>
      <c r="D291" s="168">
        <v>0</v>
      </c>
      <c r="E291" s="168">
        <v>0</v>
      </c>
      <c r="F291" s="168">
        <v>0</v>
      </c>
      <c r="G291" s="168">
        <v>0</v>
      </c>
      <c r="H291" s="168">
        <v>0</v>
      </c>
      <c r="I291" s="168">
        <v>0</v>
      </c>
      <c r="J291" s="168">
        <v>0</v>
      </c>
      <c r="K291" s="168">
        <v>0</v>
      </c>
      <c r="L291" s="168">
        <v>0</v>
      </c>
      <c r="M291" s="168"/>
      <c r="N291" s="168"/>
      <c r="O291" s="176"/>
      <c r="P291" s="151"/>
    </row>
    <row r="292" spans="1:16" s="162" customFormat="1" ht="31.5">
      <c r="A292" s="165" t="s">
        <v>869</v>
      </c>
      <c r="B292" s="210" t="s">
        <v>870</v>
      </c>
      <c r="C292" s="167" t="s">
        <v>476</v>
      </c>
      <c r="D292" s="168">
        <v>0</v>
      </c>
      <c r="E292" s="168">
        <v>0</v>
      </c>
      <c r="F292" s="168">
        <v>0</v>
      </c>
      <c r="G292" s="168">
        <v>0</v>
      </c>
      <c r="H292" s="168">
        <v>0</v>
      </c>
      <c r="I292" s="168">
        <v>0</v>
      </c>
      <c r="J292" s="168">
        <v>0</v>
      </c>
      <c r="K292" s="168">
        <v>0</v>
      </c>
      <c r="L292" s="168">
        <v>0</v>
      </c>
      <c r="M292" s="168"/>
      <c r="N292" s="168"/>
      <c r="O292" s="176"/>
      <c r="P292" s="151"/>
    </row>
    <row r="293" spans="1:16" s="162" customFormat="1">
      <c r="A293" s="165" t="s">
        <v>871</v>
      </c>
      <c r="B293" s="210" t="s">
        <v>821</v>
      </c>
      <c r="C293" s="167" t="s">
        <v>476</v>
      </c>
      <c r="D293" s="168">
        <v>0</v>
      </c>
      <c r="E293" s="168">
        <v>0</v>
      </c>
      <c r="F293" s="168">
        <v>0</v>
      </c>
      <c r="G293" s="168">
        <v>0</v>
      </c>
      <c r="H293" s="168">
        <v>0</v>
      </c>
      <c r="I293" s="168">
        <v>0</v>
      </c>
      <c r="J293" s="168">
        <v>0</v>
      </c>
      <c r="K293" s="168">
        <v>0</v>
      </c>
      <c r="L293" s="168">
        <v>0</v>
      </c>
      <c r="M293" s="168"/>
      <c r="N293" s="168"/>
      <c r="O293" s="176"/>
      <c r="P293" s="151"/>
    </row>
    <row r="294" spans="1:16" s="162" customFormat="1">
      <c r="A294" s="165" t="s">
        <v>872</v>
      </c>
      <c r="B294" s="210" t="s">
        <v>873</v>
      </c>
      <c r="C294" s="167" t="s">
        <v>476</v>
      </c>
      <c r="D294" s="171">
        <v>4.5960000000000001</v>
      </c>
      <c r="E294" s="171">
        <v>4.2480000000000002</v>
      </c>
      <c r="F294" s="168">
        <v>0</v>
      </c>
      <c r="G294" s="168">
        <v>0</v>
      </c>
      <c r="H294" s="186">
        <v>2.4740000000000002</v>
      </c>
      <c r="I294" s="168">
        <v>0</v>
      </c>
      <c r="J294" s="186">
        <v>1.79</v>
      </c>
      <c r="K294" s="168">
        <v>0</v>
      </c>
      <c r="L294" s="168">
        <v>0</v>
      </c>
      <c r="M294" s="173">
        <f t="shared" ref="M294" si="125">J294-F294</f>
        <v>1.79</v>
      </c>
      <c r="N294" s="174" t="e">
        <f t="shared" ref="N294" si="126">M294/F294</f>
        <v>#DIV/0!</v>
      </c>
      <c r="O294" s="287" t="s">
        <v>385</v>
      </c>
      <c r="P294" s="151"/>
    </row>
    <row r="295" spans="1:16" s="162" customFormat="1">
      <c r="A295" s="165" t="s">
        <v>874</v>
      </c>
      <c r="B295" s="210" t="s">
        <v>821</v>
      </c>
      <c r="C295" s="167" t="s">
        <v>476</v>
      </c>
      <c r="D295" s="171">
        <v>3.0579999999999998</v>
      </c>
      <c r="E295" s="186">
        <v>2.798</v>
      </c>
      <c r="F295" s="168">
        <v>0</v>
      </c>
      <c r="G295" s="168">
        <v>0</v>
      </c>
      <c r="H295" s="168">
        <v>0</v>
      </c>
      <c r="I295" s="168">
        <v>0</v>
      </c>
      <c r="J295" s="168">
        <v>0</v>
      </c>
      <c r="K295" s="168">
        <v>0</v>
      </c>
      <c r="L295" s="168">
        <v>0</v>
      </c>
      <c r="M295" s="168"/>
      <c r="N295" s="168"/>
      <c r="O295" s="289"/>
      <c r="P295" s="151"/>
    </row>
    <row r="296" spans="1:16" s="162" customFormat="1">
      <c r="A296" s="165" t="s">
        <v>875</v>
      </c>
      <c r="B296" s="210" t="s">
        <v>876</v>
      </c>
      <c r="C296" s="167" t="s">
        <v>476</v>
      </c>
      <c r="D296" s="186">
        <v>0.71</v>
      </c>
      <c r="E296" s="171">
        <v>1.103</v>
      </c>
      <c r="F296" s="168">
        <v>0</v>
      </c>
      <c r="G296" s="168">
        <v>0</v>
      </c>
      <c r="H296" s="186">
        <v>0.85099999999999998</v>
      </c>
      <c r="I296" s="168">
        <v>0</v>
      </c>
      <c r="J296" s="186">
        <v>1.1819999999999999</v>
      </c>
      <c r="K296" s="168">
        <v>0</v>
      </c>
      <c r="L296" s="168">
        <v>0</v>
      </c>
      <c r="M296" s="173">
        <f t="shared" ref="M296" si="127">J296-F296</f>
        <v>1.1819999999999999</v>
      </c>
      <c r="N296" s="174" t="e">
        <f t="shared" ref="N296" si="128">M296/F296</f>
        <v>#DIV/0!</v>
      </c>
      <c r="O296" s="287" t="s">
        <v>385</v>
      </c>
      <c r="P296" s="151"/>
    </row>
    <row r="297" spans="1:16" s="162" customFormat="1">
      <c r="A297" s="165" t="s">
        <v>877</v>
      </c>
      <c r="B297" s="210" t="s">
        <v>821</v>
      </c>
      <c r="C297" s="167" t="s">
        <v>476</v>
      </c>
      <c r="D297" s="168">
        <v>0</v>
      </c>
      <c r="E297" s="168">
        <v>0</v>
      </c>
      <c r="F297" s="168">
        <v>0</v>
      </c>
      <c r="G297" s="168">
        <v>0</v>
      </c>
      <c r="H297" s="168">
        <v>0</v>
      </c>
      <c r="I297" s="168">
        <v>0</v>
      </c>
      <c r="J297" s="168">
        <v>0</v>
      </c>
      <c r="K297" s="168">
        <v>0</v>
      </c>
      <c r="L297" s="168">
        <v>0</v>
      </c>
      <c r="M297" s="168"/>
      <c r="N297" s="168"/>
      <c r="O297" s="298"/>
      <c r="P297" s="151"/>
    </row>
    <row r="298" spans="1:16" s="162" customFormat="1">
      <c r="A298" s="165" t="s">
        <v>878</v>
      </c>
      <c r="B298" s="210" t="s">
        <v>879</v>
      </c>
      <c r="C298" s="167" t="s">
        <v>476</v>
      </c>
      <c r="D298" s="171">
        <v>5.7619999999999996</v>
      </c>
      <c r="E298" s="171">
        <v>7.3959999999999999</v>
      </c>
      <c r="F298" s="168">
        <v>0</v>
      </c>
      <c r="G298" s="168">
        <v>0</v>
      </c>
      <c r="H298" s="186">
        <v>4.2789999999999999</v>
      </c>
      <c r="I298" s="168">
        <v>0</v>
      </c>
      <c r="J298" s="186">
        <v>6.18</v>
      </c>
      <c r="K298" s="168">
        <v>0</v>
      </c>
      <c r="L298" s="168">
        <v>0</v>
      </c>
      <c r="M298" s="173">
        <f t="shared" ref="M298" si="129">J298-F298</f>
        <v>6.18</v>
      </c>
      <c r="N298" s="174" t="e">
        <f t="shared" ref="N298" si="130">M298/F298</f>
        <v>#DIV/0!</v>
      </c>
      <c r="O298" s="287" t="s">
        <v>385</v>
      </c>
      <c r="P298" s="151"/>
    </row>
    <row r="299" spans="1:16" s="162" customFormat="1">
      <c r="A299" s="165" t="s">
        <v>880</v>
      </c>
      <c r="B299" s="210" t="s">
        <v>821</v>
      </c>
      <c r="C299" s="167" t="s">
        <v>476</v>
      </c>
      <c r="D299" s="168">
        <v>0</v>
      </c>
      <c r="E299" s="168">
        <v>0</v>
      </c>
      <c r="F299" s="168">
        <v>0</v>
      </c>
      <c r="G299" s="168">
        <v>0</v>
      </c>
      <c r="H299" s="168">
        <v>0</v>
      </c>
      <c r="I299" s="168">
        <v>0</v>
      </c>
      <c r="J299" s="168">
        <v>0</v>
      </c>
      <c r="K299" s="168">
        <v>0</v>
      </c>
      <c r="L299" s="168">
        <v>0</v>
      </c>
      <c r="M299" s="168"/>
      <c r="N299" s="168"/>
      <c r="O299" s="176"/>
      <c r="P299" s="151"/>
    </row>
    <row r="300" spans="1:16" s="162" customFormat="1">
      <c r="A300" s="165" t="s">
        <v>881</v>
      </c>
      <c r="B300" s="210" t="s">
        <v>882</v>
      </c>
      <c r="C300" s="167" t="s">
        <v>476</v>
      </c>
      <c r="D300" s="168">
        <v>0</v>
      </c>
      <c r="E300" s="168">
        <v>0</v>
      </c>
      <c r="F300" s="168">
        <v>0</v>
      </c>
      <c r="G300" s="168">
        <v>0</v>
      </c>
      <c r="H300" s="168">
        <v>0</v>
      </c>
      <c r="I300" s="168">
        <v>0</v>
      </c>
      <c r="J300" s="168">
        <v>0</v>
      </c>
      <c r="K300" s="168">
        <v>0</v>
      </c>
      <c r="L300" s="168">
        <v>0</v>
      </c>
      <c r="M300" s="168"/>
      <c r="N300" s="168"/>
      <c r="O300" s="176"/>
      <c r="P300" s="151"/>
    </row>
    <row r="301" spans="1:16" s="162" customFormat="1">
      <c r="A301" s="165" t="s">
        <v>883</v>
      </c>
      <c r="B301" s="210" t="s">
        <v>821</v>
      </c>
      <c r="C301" s="167" t="s">
        <v>476</v>
      </c>
      <c r="D301" s="168">
        <v>0</v>
      </c>
      <c r="E301" s="168">
        <v>0</v>
      </c>
      <c r="F301" s="168">
        <v>0</v>
      </c>
      <c r="G301" s="168">
        <v>0</v>
      </c>
      <c r="H301" s="168">
        <v>0</v>
      </c>
      <c r="I301" s="168">
        <v>0</v>
      </c>
      <c r="J301" s="168">
        <v>0</v>
      </c>
      <c r="K301" s="168">
        <v>0</v>
      </c>
      <c r="L301" s="168">
        <v>0</v>
      </c>
      <c r="M301" s="168"/>
      <c r="N301" s="168"/>
      <c r="O301" s="176"/>
      <c r="P301" s="151"/>
    </row>
    <row r="302" spans="1:16" s="162" customFormat="1" ht="31.5">
      <c r="A302" s="165" t="s">
        <v>884</v>
      </c>
      <c r="B302" s="210" t="s">
        <v>885</v>
      </c>
      <c r="C302" s="167" t="s">
        <v>476</v>
      </c>
      <c r="D302" s="168">
        <v>0</v>
      </c>
      <c r="E302" s="168">
        <v>0</v>
      </c>
      <c r="F302" s="168">
        <v>0</v>
      </c>
      <c r="G302" s="168">
        <v>0</v>
      </c>
      <c r="H302" s="186">
        <v>1.3149999999999999</v>
      </c>
      <c r="I302" s="168">
        <v>0</v>
      </c>
      <c r="J302" s="168">
        <v>0</v>
      </c>
      <c r="K302" s="168">
        <v>0</v>
      </c>
      <c r="L302" s="168">
        <v>0</v>
      </c>
      <c r="M302" s="173"/>
      <c r="N302" s="174"/>
      <c r="O302" s="287"/>
      <c r="P302" s="151"/>
    </row>
    <row r="303" spans="1:16" s="162" customFormat="1">
      <c r="A303" s="165" t="s">
        <v>886</v>
      </c>
      <c r="B303" s="210" t="s">
        <v>821</v>
      </c>
      <c r="C303" s="167" t="s">
        <v>476</v>
      </c>
      <c r="D303" s="168">
        <v>0</v>
      </c>
      <c r="E303" s="168">
        <v>0</v>
      </c>
      <c r="F303" s="168">
        <v>0</v>
      </c>
      <c r="G303" s="168">
        <v>0</v>
      </c>
      <c r="H303" s="168">
        <v>0</v>
      </c>
      <c r="I303" s="168">
        <v>0</v>
      </c>
      <c r="J303" s="168">
        <v>0</v>
      </c>
      <c r="K303" s="168">
        <v>0</v>
      </c>
      <c r="L303" s="168">
        <v>0</v>
      </c>
      <c r="M303" s="168"/>
      <c r="N303" s="168"/>
      <c r="O303" s="176"/>
      <c r="P303" s="151"/>
    </row>
    <row r="304" spans="1:16" s="162" customFormat="1">
      <c r="A304" s="165" t="s">
        <v>887</v>
      </c>
      <c r="B304" s="210" t="s">
        <v>888</v>
      </c>
      <c r="C304" s="167" t="s">
        <v>476</v>
      </c>
      <c r="D304" s="186">
        <f>D284-D294-D296-D298</f>
        <v>51.192</v>
      </c>
      <c r="E304" s="186">
        <f>E284-E294-E296-E298</f>
        <v>31.545000000000002</v>
      </c>
      <c r="F304" s="168">
        <v>0</v>
      </c>
      <c r="G304" s="168">
        <v>0</v>
      </c>
      <c r="H304" s="186">
        <v>27.233000000000001</v>
      </c>
      <c r="I304" s="168">
        <v>0</v>
      </c>
      <c r="J304" s="186">
        <v>30.863</v>
      </c>
      <c r="K304" s="168">
        <v>0</v>
      </c>
      <c r="L304" s="168">
        <v>0</v>
      </c>
      <c r="M304" s="173">
        <f t="shared" ref="M304" si="131">J304-F304</f>
        <v>30.863</v>
      </c>
      <c r="N304" s="174" t="e">
        <f t="shared" ref="N304" si="132">M304/F304</f>
        <v>#DIV/0!</v>
      </c>
      <c r="O304" s="287" t="s">
        <v>385</v>
      </c>
      <c r="P304" s="151"/>
    </row>
    <row r="305" spans="1:16" s="162" customFormat="1">
      <c r="A305" s="165" t="s">
        <v>889</v>
      </c>
      <c r="B305" s="210" t="s">
        <v>821</v>
      </c>
      <c r="C305" s="167" t="s">
        <v>476</v>
      </c>
      <c r="D305" s="168">
        <v>0</v>
      </c>
      <c r="E305" s="168">
        <v>0</v>
      </c>
      <c r="F305" s="168">
        <v>0</v>
      </c>
      <c r="G305" s="168">
        <v>0</v>
      </c>
      <c r="H305" s="168"/>
      <c r="I305" s="168">
        <v>0</v>
      </c>
      <c r="J305" s="186">
        <v>19.399000000000001</v>
      </c>
      <c r="K305" s="168">
        <v>0</v>
      </c>
      <c r="L305" s="168">
        <v>0</v>
      </c>
      <c r="M305" s="168"/>
      <c r="N305" s="168"/>
      <c r="O305" s="176"/>
      <c r="P305" s="151"/>
    </row>
    <row r="306" spans="1:16" s="162" customFormat="1" ht="31.5">
      <c r="A306" s="165" t="s">
        <v>890</v>
      </c>
      <c r="B306" s="189" t="s">
        <v>891</v>
      </c>
      <c r="C306" s="167" t="s">
        <v>15</v>
      </c>
      <c r="D306" s="206">
        <f>D168/1.18/D24</f>
        <v>0.85951339554241191</v>
      </c>
      <c r="E306" s="206">
        <f>E168/1.18/E24</f>
        <v>0.71274294631076829</v>
      </c>
      <c r="F306" s="206">
        <f>F168/1.2/F24</f>
        <v>0.98333333333333328</v>
      </c>
      <c r="G306" s="206">
        <f>G168/1.18/G24</f>
        <v>1</v>
      </c>
      <c r="H306" s="206">
        <f t="shared" ref="H306:L306" si="133">H168/1.18/H24</f>
        <v>1.0460613497770335</v>
      </c>
      <c r="I306" s="206">
        <f>I168/1.18/I24</f>
        <v>1</v>
      </c>
      <c r="J306" s="206">
        <f>J168/1.2/J24</f>
        <v>1.0229188245090273</v>
      </c>
      <c r="K306" s="206">
        <f t="shared" si="133"/>
        <v>0.99999999999999978</v>
      </c>
      <c r="L306" s="206">
        <f t="shared" si="133"/>
        <v>0.99999999999999978</v>
      </c>
      <c r="M306" s="206"/>
      <c r="N306" s="206"/>
      <c r="O306" s="299"/>
      <c r="P306" s="151"/>
    </row>
    <row r="307" spans="1:16" s="162" customFormat="1">
      <c r="A307" s="165" t="s">
        <v>892</v>
      </c>
      <c r="B307" s="210" t="s">
        <v>893</v>
      </c>
      <c r="C307" s="167" t="s">
        <v>15</v>
      </c>
      <c r="D307" s="168">
        <v>0</v>
      </c>
      <c r="E307" s="168">
        <v>0</v>
      </c>
      <c r="F307" s="168">
        <v>0</v>
      </c>
      <c r="G307" s="168"/>
      <c r="H307" s="168"/>
      <c r="I307" s="168"/>
      <c r="J307" s="168"/>
      <c r="K307" s="168">
        <v>0</v>
      </c>
      <c r="L307" s="168">
        <v>0</v>
      </c>
      <c r="M307" s="168"/>
      <c r="N307" s="168"/>
      <c r="O307" s="176"/>
      <c r="P307" s="151"/>
    </row>
    <row r="308" spans="1:16" s="162" customFormat="1" ht="31.5">
      <c r="A308" s="165" t="s">
        <v>894</v>
      </c>
      <c r="B308" s="210" t="s">
        <v>895</v>
      </c>
      <c r="C308" s="167" t="s">
        <v>15</v>
      </c>
      <c r="D308" s="168">
        <v>0</v>
      </c>
      <c r="E308" s="168">
        <v>0</v>
      </c>
      <c r="F308" s="168">
        <v>0</v>
      </c>
      <c r="G308" s="168"/>
      <c r="H308" s="168"/>
      <c r="I308" s="168"/>
      <c r="J308" s="168"/>
      <c r="K308" s="168">
        <v>0</v>
      </c>
      <c r="L308" s="168">
        <v>0</v>
      </c>
      <c r="M308" s="168"/>
      <c r="N308" s="168"/>
      <c r="O308" s="176"/>
      <c r="P308" s="151"/>
    </row>
    <row r="309" spans="1:16" s="162" customFormat="1" ht="31.5">
      <c r="A309" s="165" t="s">
        <v>896</v>
      </c>
      <c r="B309" s="210" t="s">
        <v>897</v>
      </c>
      <c r="C309" s="167" t="s">
        <v>15</v>
      </c>
      <c r="D309" s="168">
        <v>0</v>
      </c>
      <c r="E309" s="168">
        <v>0</v>
      </c>
      <c r="F309" s="168">
        <v>0</v>
      </c>
      <c r="G309" s="168"/>
      <c r="H309" s="168"/>
      <c r="I309" s="168"/>
      <c r="J309" s="168"/>
      <c r="K309" s="168">
        <v>0</v>
      </c>
      <c r="L309" s="168">
        <v>0</v>
      </c>
      <c r="M309" s="168"/>
      <c r="N309" s="168"/>
      <c r="O309" s="176"/>
      <c r="P309" s="151"/>
    </row>
    <row r="310" spans="1:16" s="162" customFormat="1" ht="31.5">
      <c r="A310" s="165" t="s">
        <v>898</v>
      </c>
      <c r="B310" s="210" t="s">
        <v>899</v>
      </c>
      <c r="C310" s="167" t="s">
        <v>15</v>
      </c>
      <c r="D310" s="168">
        <v>0</v>
      </c>
      <c r="E310" s="168">
        <v>0</v>
      </c>
      <c r="F310" s="168">
        <v>0</v>
      </c>
      <c r="G310" s="168"/>
      <c r="H310" s="168"/>
      <c r="I310" s="168"/>
      <c r="J310" s="168"/>
      <c r="K310" s="168">
        <v>0</v>
      </c>
      <c r="L310" s="168">
        <v>0</v>
      </c>
      <c r="M310" s="168"/>
      <c r="N310" s="168"/>
      <c r="O310" s="176"/>
      <c r="P310" s="151"/>
    </row>
    <row r="311" spans="1:16" s="162" customFormat="1">
      <c r="A311" s="165" t="s">
        <v>900</v>
      </c>
      <c r="B311" s="166" t="s">
        <v>901</v>
      </c>
      <c r="C311" s="167" t="s">
        <v>15</v>
      </c>
      <c r="D311" s="168">
        <v>0</v>
      </c>
      <c r="E311" s="168">
        <v>0</v>
      </c>
      <c r="F311" s="168">
        <v>0</v>
      </c>
      <c r="G311" s="168"/>
      <c r="H311" s="168"/>
      <c r="I311" s="168"/>
      <c r="J311" s="168"/>
      <c r="K311" s="168">
        <v>0</v>
      </c>
      <c r="L311" s="168">
        <v>0</v>
      </c>
      <c r="M311" s="168"/>
      <c r="N311" s="168"/>
      <c r="O311" s="176"/>
      <c r="P311" s="151"/>
    </row>
    <row r="312" spans="1:16" s="162" customFormat="1">
      <c r="A312" s="165" t="s">
        <v>902</v>
      </c>
      <c r="B312" s="166" t="s">
        <v>903</v>
      </c>
      <c r="C312" s="167" t="s">
        <v>15</v>
      </c>
      <c r="D312" s="207">
        <f>D306</f>
        <v>0.85951339554241191</v>
      </c>
      <c r="E312" s="207">
        <f t="shared" ref="E312:L312" si="134">E306</f>
        <v>0.71274294631076829</v>
      </c>
      <c r="F312" s="207">
        <f t="shared" si="134"/>
        <v>0.98333333333333328</v>
      </c>
      <c r="G312" s="207">
        <f t="shared" si="134"/>
        <v>1</v>
      </c>
      <c r="H312" s="207">
        <f t="shared" si="134"/>
        <v>1.0460613497770335</v>
      </c>
      <c r="I312" s="207">
        <f t="shared" ref="I312:J312" si="135">I306</f>
        <v>1</v>
      </c>
      <c r="J312" s="207">
        <f t="shared" si="135"/>
        <v>1.0229188245090273</v>
      </c>
      <c r="K312" s="207">
        <f t="shared" si="134"/>
        <v>0.99999999999999978</v>
      </c>
      <c r="L312" s="207">
        <f t="shared" si="134"/>
        <v>0.99999999999999978</v>
      </c>
      <c r="M312" s="207"/>
      <c r="N312" s="207"/>
      <c r="O312" s="299"/>
      <c r="P312" s="151"/>
    </row>
    <row r="313" spans="1:16" s="162" customFormat="1">
      <c r="A313" s="165" t="s">
        <v>904</v>
      </c>
      <c r="B313" s="166" t="s">
        <v>905</v>
      </c>
      <c r="C313" s="167" t="s">
        <v>15</v>
      </c>
      <c r="D313" s="168">
        <v>0</v>
      </c>
      <c r="E313" s="168">
        <v>0</v>
      </c>
      <c r="F313" s="168">
        <v>0</v>
      </c>
      <c r="G313" s="168"/>
      <c r="H313" s="168"/>
      <c r="I313" s="168"/>
      <c r="J313" s="168"/>
      <c r="K313" s="168">
        <v>0</v>
      </c>
      <c r="L313" s="168">
        <v>0</v>
      </c>
      <c r="M313" s="168">
        <v>0</v>
      </c>
      <c r="N313" s="168">
        <v>0</v>
      </c>
      <c r="O313" s="176"/>
      <c r="P313" s="151"/>
    </row>
    <row r="314" spans="1:16" s="162" customFormat="1">
      <c r="A314" s="165" t="s">
        <v>906</v>
      </c>
      <c r="B314" s="166" t="s">
        <v>907</v>
      </c>
      <c r="C314" s="167" t="s">
        <v>15</v>
      </c>
      <c r="D314" s="168">
        <v>0</v>
      </c>
      <c r="E314" s="168">
        <v>0</v>
      </c>
      <c r="F314" s="168">
        <v>0</v>
      </c>
      <c r="G314" s="168"/>
      <c r="H314" s="168"/>
      <c r="I314" s="168"/>
      <c r="J314" s="168"/>
      <c r="K314" s="168">
        <v>0</v>
      </c>
      <c r="L314" s="168">
        <v>0</v>
      </c>
      <c r="M314" s="168">
        <v>0</v>
      </c>
      <c r="N314" s="168">
        <v>0</v>
      </c>
      <c r="O314" s="176"/>
      <c r="P314" s="151"/>
    </row>
    <row r="315" spans="1:16" s="162" customFormat="1">
      <c r="A315" s="165" t="s">
        <v>908</v>
      </c>
      <c r="B315" s="166" t="s">
        <v>909</v>
      </c>
      <c r="C315" s="167" t="s">
        <v>15</v>
      </c>
      <c r="D315" s="168">
        <v>0</v>
      </c>
      <c r="E315" s="168">
        <v>0</v>
      </c>
      <c r="F315" s="168">
        <v>0</v>
      </c>
      <c r="G315" s="168"/>
      <c r="H315" s="168"/>
      <c r="I315" s="168"/>
      <c r="J315" s="168"/>
      <c r="K315" s="168">
        <v>0</v>
      </c>
      <c r="L315" s="168">
        <v>0</v>
      </c>
      <c r="M315" s="168">
        <v>0</v>
      </c>
      <c r="N315" s="168">
        <v>0</v>
      </c>
      <c r="O315" s="176"/>
      <c r="P315" s="151"/>
    </row>
    <row r="316" spans="1:16" s="162" customFormat="1" ht="31.5">
      <c r="A316" s="165" t="s">
        <v>910</v>
      </c>
      <c r="B316" s="210" t="s">
        <v>911</v>
      </c>
      <c r="C316" s="167" t="s">
        <v>15</v>
      </c>
      <c r="D316" s="168">
        <v>0</v>
      </c>
      <c r="E316" s="168">
        <v>0</v>
      </c>
      <c r="F316" s="168">
        <v>0</v>
      </c>
      <c r="G316" s="168"/>
      <c r="H316" s="168"/>
      <c r="I316" s="168"/>
      <c r="J316" s="168"/>
      <c r="K316" s="168">
        <v>0</v>
      </c>
      <c r="L316" s="168">
        <v>0</v>
      </c>
      <c r="M316" s="168">
        <v>0</v>
      </c>
      <c r="N316" s="168">
        <v>0</v>
      </c>
      <c r="O316" s="176"/>
      <c r="P316" s="151"/>
    </row>
    <row r="317" spans="1:16" s="162" customFormat="1">
      <c r="A317" s="165" t="s">
        <v>912</v>
      </c>
      <c r="B317" s="166" t="s">
        <v>497</v>
      </c>
      <c r="C317" s="167" t="s">
        <v>15</v>
      </c>
      <c r="D317" s="168">
        <v>0</v>
      </c>
      <c r="E317" s="168">
        <v>0</v>
      </c>
      <c r="F317" s="168">
        <v>0</v>
      </c>
      <c r="G317" s="168"/>
      <c r="H317" s="168"/>
      <c r="I317" s="168"/>
      <c r="J317" s="168"/>
      <c r="K317" s="168">
        <v>0</v>
      </c>
      <c r="L317" s="168">
        <v>0</v>
      </c>
      <c r="M317" s="168">
        <v>0</v>
      </c>
      <c r="N317" s="168">
        <v>0</v>
      </c>
      <c r="O317" s="176"/>
      <c r="P317" s="151"/>
    </row>
    <row r="318" spans="1:16" s="162" customFormat="1" ht="16.5" thickBot="1">
      <c r="A318" s="177" t="s">
        <v>913</v>
      </c>
      <c r="B318" s="178" t="s">
        <v>499</v>
      </c>
      <c r="C318" s="179" t="s">
        <v>15</v>
      </c>
      <c r="D318" s="168">
        <v>0</v>
      </c>
      <c r="E318" s="168">
        <v>0</v>
      </c>
      <c r="F318" s="168">
        <v>0</v>
      </c>
      <c r="G318" s="168"/>
      <c r="H318" s="168"/>
      <c r="I318" s="168"/>
      <c r="J318" s="168"/>
      <c r="K318" s="168">
        <v>0</v>
      </c>
      <c r="L318" s="168">
        <v>0</v>
      </c>
      <c r="M318" s="168">
        <v>0</v>
      </c>
      <c r="N318" s="168">
        <v>0</v>
      </c>
      <c r="O318" s="176"/>
      <c r="P318" s="151"/>
    </row>
    <row r="319" spans="1:16" s="162" customFormat="1" ht="19.5" thickBot="1">
      <c r="A319" s="419" t="s">
        <v>914</v>
      </c>
      <c r="B319" s="420"/>
      <c r="C319" s="420"/>
      <c r="D319" s="420"/>
      <c r="E319" s="420"/>
      <c r="F319" s="420"/>
      <c r="G319" s="420"/>
      <c r="H319" s="420"/>
      <c r="I319" s="420"/>
      <c r="J319" s="420"/>
      <c r="K319" s="420"/>
      <c r="L319" s="420"/>
      <c r="M319" s="420"/>
      <c r="N319" s="420"/>
      <c r="O319" s="421"/>
      <c r="P319" s="151"/>
    </row>
    <row r="320" spans="1:16" ht="31.5">
      <c r="A320" s="242" t="s">
        <v>915</v>
      </c>
      <c r="B320" s="243" t="s">
        <v>916</v>
      </c>
      <c r="C320" s="244" t="s">
        <v>284</v>
      </c>
      <c r="D320" s="265" t="s">
        <v>917</v>
      </c>
      <c r="E320" s="265" t="s">
        <v>917</v>
      </c>
      <c r="F320" s="265" t="s">
        <v>917</v>
      </c>
      <c r="G320" s="265" t="s">
        <v>917</v>
      </c>
      <c r="H320" s="265" t="s">
        <v>917</v>
      </c>
      <c r="I320" s="265"/>
      <c r="J320" s="265"/>
      <c r="K320" s="265" t="s">
        <v>917</v>
      </c>
      <c r="L320" s="265" t="s">
        <v>917</v>
      </c>
      <c r="M320" s="265" t="s">
        <v>917</v>
      </c>
      <c r="N320" s="265" t="s">
        <v>917</v>
      </c>
      <c r="O320" s="300"/>
    </row>
    <row r="321" spans="1:15">
      <c r="A321" s="165" t="s">
        <v>918</v>
      </c>
      <c r="B321" s="189" t="s">
        <v>919</v>
      </c>
      <c r="C321" s="167" t="s">
        <v>42</v>
      </c>
      <c r="D321" s="171" t="s">
        <v>284</v>
      </c>
      <c r="E321" s="171" t="s">
        <v>284</v>
      </c>
      <c r="F321" s="171" t="s">
        <v>284</v>
      </c>
      <c r="G321" s="171" t="s">
        <v>284</v>
      </c>
      <c r="H321" s="171" t="s">
        <v>284</v>
      </c>
      <c r="I321" s="171"/>
      <c r="J321" s="171"/>
      <c r="K321" s="171" t="s">
        <v>284</v>
      </c>
      <c r="L321" s="171" t="s">
        <v>284</v>
      </c>
      <c r="M321" s="171" t="s">
        <v>284</v>
      </c>
      <c r="N321" s="171" t="s">
        <v>284</v>
      </c>
      <c r="O321" s="301"/>
    </row>
    <row r="322" spans="1:15">
      <c r="A322" s="165" t="s">
        <v>920</v>
      </c>
      <c r="B322" s="189" t="s">
        <v>921</v>
      </c>
      <c r="C322" s="167" t="s">
        <v>922</v>
      </c>
      <c r="D322" s="171" t="s">
        <v>284</v>
      </c>
      <c r="E322" s="171" t="s">
        <v>284</v>
      </c>
      <c r="F322" s="171" t="s">
        <v>284</v>
      </c>
      <c r="G322" s="171" t="s">
        <v>284</v>
      </c>
      <c r="H322" s="171" t="s">
        <v>284</v>
      </c>
      <c r="I322" s="171"/>
      <c r="J322" s="171"/>
      <c r="K322" s="171" t="s">
        <v>284</v>
      </c>
      <c r="L322" s="171" t="s">
        <v>284</v>
      </c>
      <c r="M322" s="171" t="s">
        <v>284</v>
      </c>
      <c r="N322" s="171" t="s">
        <v>284</v>
      </c>
      <c r="O322" s="301"/>
    </row>
    <row r="323" spans="1:15">
      <c r="A323" s="165" t="s">
        <v>923</v>
      </c>
      <c r="B323" s="189" t="s">
        <v>924</v>
      </c>
      <c r="C323" s="167" t="s">
        <v>42</v>
      </c>
      <c r="D323" s="171" t="s">
        <v>284</v>
      </c>
      <c r="E323" s="171" t="s">
        <v>284</v>
      </c>
      <c r="F323" s="171" t="s">
        <v>284</v>
      </c>
      <c r="G323" s="171" t="s">
        <v>284</v>
      </c>
      <c r="H323" s="171" t="s">
        <v>284</v>
      </c>
      <c r="I323" s="171"/>
      <c r="J323" s="171"/>
      <c r="K323" s="171" t="s">
        <v>284</v>
      </c>
      <c r="L323" s="171" t="s">
        <v>284</v>
      </c>
      <c r="M323" s="171" t="s">
        <v>284</v>
      </c>
      <c r="N323" s="171" t="s">
        <v>284</v>
      </c>
      <c r="O323" s="301"/>
    </row>
    <row r="324" spans="1:15">
      <c r="A324" s="165" t="s">
        <v>925</v>
      </c>
      <c r="B324" s="189" t="s">
        <v>926</v>
      </c>
      <c r="C324" s="167" t="s">
        <v>922</v>
      </c>
      <c r="D324" s="171" t="s">
        <v>284</v>
      </c>
      <c r="E324" s="171" t="s">
        <v>284</v>
      </c>
      <c r="F324" s="171" t="s">
        <v>284</v>
      </c>
      <c r="G324" s="171" t="s">
        <v>284</v>
      </c>
      <c r="H324" s="171" t="s">
        <v>284</v>
      </c>
      <c r="I324" s="171"/>
      <c r="J324" s="171"/>
      <c r="K324" s="171" t="s">
        <v>284</v>
      </c>
      <c r="L324" s="171" t="s">
        <v>284</v>
      </c>
      <c r="M324" s="171" t="s">
        <v>284</v>
      </c>
      <c r="N324" s="171" t="s">
        <v>284</v>
      </c>
      <c r="O324" s="301"/>
    </row>
    <row r="325" spans="1:15">
      <c r="A325" s="165" t="s">
        <v>927</v>
      </c>
      <c r="B325" s="189" t="s">
        <v>928</v>
      </c>
      <c r="C325" s="167" t="s">
        <v>929</v>
      </c>
      <c r="D325" s="171" t="s">
        <v>284</v>
      </c>
      <c r="E325" s="171" t="s">
        <v>284</v>
      </c>
      <c r="F325" s="171" t="s">
        <v>284</v>
      </c>
      <c r="G325" s="171" t="s">
        <v>284</v>
      </c>
      <c r="H325" s="171" t="s">
        <v>284</v>
      </c>
      <c r="I325" s="171"/>
      <c r="J325" s="171"/>
      <c r="K325" s="171" t="s">
        <v>284</v>
      </c>
      <c r="L325" s="171" t="s">
        <v>284</v>
      </c>
      <c r="M325" s="171" t="s">
        <v>284</v>
      </c>
      <c r="N325" s="171" t="s">
        <v>284</v>
      </c>
      <c r="O325" s="301"/>
    </row>
    <row r="326" spans="1:15">
      <c r="A326" s="165" t="s">
        <v>930</v>
      </c>
      <c r="B326" s="189" t="s">
        <v>931</v>
      </c>
      <c r="C326" s="167" t="s">
        <v>284</v>
      </c>
      <c r="D326" s="171" t="s">
        <v>917</v>
      </c>
      <c r="E326" s="171" t="s">
        <v>917</v>
      </c>
      <c r="F326" s="171" t="s">
        <v>917</v>
      </c>
      <c r="G326" s="171" t="s">
        <v>917</v>
      </c>
      <c r="H326" s="171" t="s">
        <v>917</v>
      </c>
      <c r="I326" s="171"/>
      <c r="J326" s="171"/>
      <c r="K326" s="171" t="s">
        <v>917</v>
      </c>
      <c r="L326" s="171" t="s">
        <v>917</v>
      </c>
      <c r="M326" s="171" t="s">
        <v>917</v>
      </c>
      <c r="N326" s="171" t="s">
        <v>917</v>
      </c>
      <c r="O326" s="301"/>
    </row>
    <row r="327" spans="1:15">
      <c r="A327" s="165" t="s">
        <v>932</v>
      </c>
      <c r="B327" s="210" t="s">
        <v>933</v>
      </c>
      <c r="C327" s="167" t="s">
        <v>929</v>
      </c>
      <c r="D327" s="171" t="s">
        <v>284</v>
      </c>
      <c r="E327" s="171" t="s">
        <v>284</v>
      </c>
      <c r="F327" s="171" t="s">
        <v>284</v>
      </c>
      <c r="G327" s="171" t="s">
        <v>284</v>
      </c>
      <c r="H327" s="171" t="s">
        <v>284</v>
      </c>
      <c r="I327" s="171"/>
      <c r="J327" s="171"/>
      <c r="K327" s="171" t="s">
        <v>284</v>
      </c>
      <c r="L327" s="171" t="s">
        <v>284</v>
      </c>
      <c r="M327" s="171" t="s">
        <v>284</v>
      </c>
      <c r="N327" s="171" t="s">
        <v>284</v>
      </c>
      <c r="O327" s="301"/>
    </row>
    <row r="328" spans="1:15">
      <c r="A328" s="165" t="s">
        <v>934</v>
      </c>
      <c r="B328" s="210" t="s">
        <v>935</v>
      </c>
      <c r="C328" s="167" t="s">
        <v>936</v>
      </c>
      <c r="D328" s="171" t="s">
        <v>284</v>
      </c>
      <c r="E328" s="171" t="s">
        <v>284</v>
      </c>
      <c r="F328" s="171" t="s">
        <v>284</v>
      </c>
      <c r="G328" s="171" t="s">
        <v>284</v>
      </c>
      <c r="H328" s="171" t="s">
        <v>284</v>
      </c>
      <c r="I328" s="171"/>
      <c r="J328" s="171"/>
      <c r="K328" s="171" t="s">
        <v>284</v>
      </c>
      <c r="L328" s="171" t="s">
        <v>284</v>
      </c>
      <c r="M328" s="171" t="s">
        <v>284</v>
      </c>
      <c r="N328" s="171" t="s">
        <v>284</v>
      </c>
      <c r="O328" s="301"/>
    </row>
    <row r="329" spans="1:15">
      <c r="A329" s="165" t="s">
        <v>937</v>
      </c>
      <c r="B329" s="189" t="s">
        <v>938</v>
      </c>
      <c r="C329" s="167" t="s">
        <v>284</v>
      </c>
      <c r="D329" s="171" t="s">
        <v>917</v>
      </c>
      <c r="E329" s="171" t="s">
        <v>917</v>
      </c>
      <c r="F329" s="171" t="s">
        <v>917</v>
      </c>
      <c r="G329" s="171" t="s">
        <v>917</v>
      </c>
      <c r="H329" s="171" t="s">
        <v>917</v>
      </c>
      <c r="I329" s="171"/>
      <c r="J329" s="171"/>
      <c r="K329" s="171" t="s">
        <v>917</v>
      </c>
      <c r="L329" s="171" t="s">
        <v>917</v>
      </c>
      <c r="M329" s="171" t="s">
        <v>917</v>
      </c>
      <c r="N329" s="171" t="s">
        <v>917</v>
      </c>
      <c r="O329" s="301"/>
    </row>
    <row r="330" spans="1:15">
      <c r="A330" s="165" t="s">
        <v>939</v>
      </c>
      <c r="B330" s="210" t="s">
        <v>933</v>
      </c>
      <c r="C330" s="167" t="s">
        <v>929</v>
      </c>
      <c r="D330" s="171" t="s">
        <v>284</v>
      </c>
      <c r="E330" s="171" t="s">
        <v>284</v>
      </c>
      <c r="F330" s="171" t="s">
        <v>284</v>
      </c>
      <c r="G330" s="171" t="s">
        <v>284</v>
      </c>
      <c r="H330" s="171" t="s">
        <v>284</v>
      </c>
      <c r="I330" s="171"/>
      <c r="J330" s="171"/>
      <c r="K330" s="171" t="s">
        <v>284</v>
      </c>
      <c r="L330" s="171" t="s">
        <v>284</v>
      </c>
      <c r="M330" s="171" t="s">
        <v>284</v>
      </c>
      <c r="N330" s="171" t="s">
        <v>284</v>
      </c>
      <c r="O330" s="301"/>
    </row>
    <row r="331" spans="1:15">
      <c r="A331" s="165" t="s">
        <v>940</v>
      </c>
      <c r="B331" s="210" t="s">
        <v>941</v>
      </c>
      <c r="C331" s="167" t="s">
        <v>42</v>
      </c>
      <c r="D331" s="171" t="s">
        <v>284</v>
      </c>
      <c r="E331" s="171" t="s">
        <v>284</v>
      </c>
      <c r="F331" s="171" t="s">
        <v>284</v>
      </c>
      <c r="G331" s="171" t="s">
        <v>284</v>
      </c>
      <c r="H331" s="171" t="s">
        <v>284</v>
      </c>
      <c r="I331" s="171"/>
      <c r="J331" s="171"/>
      <c r="K331" s="171" t="s">
        <v>284</v>
      </c>
      <c r="L331" s="171" t="s">
        <v>284</v>
      </c>
      <c r="M331" s="171" t="s">
        <v>284</v>
      </c>
      <c r="N331" s="171" t="s">
        <v>284</v>
      </c>
      <c r="O331" s="301"/>
    </row>
    <row r="332" spans="1:15">
      <c r="A332" s="165" t="s">
        <v>942</v>
      </c>
      <c r="B332" s="210" t="s">
        <v>935</v>
      </c>
      <c r="C332" s="167" t="s">
        <v>936</v>
      </c>
      <c r="D332" s="171" t="s">
        <v>284</v>
      </c>
      <c r="E332" s="171" t="s">
        <v>284</v>
      </c>
      <c r="F332" s="171" t="s">
        <v>284</v>
      </c>
      <c r="G332" s="171" t="s">
        <v>284</v>
      </c>
      <c r="H332" s="171" t="s">
        <v>284</v>
      </c>
      <c r="I332" s="171"/>
      <c r="J332" s="171"/>
      <c r="K332" s="171" t="s">
        <v>284</v>
      </c>
      <c r="L332" s="171" t="s">
        <v>284</v>
      </c>
      <c r="M332" s="171" t="s">
        <v>284</v>
      </c>
      <c r="N332" s="171" t="s">
        <v>284</v>
      </c>
      <c r="O332" s="301"/>
    </row>
    <row r="333" spans="1:15">
      <c r="A333" s="165" t="s">
        <v>943</v>
      </c>
      <c r="B333" s="189" t="s">
        <v>944</v>
      </c>
      <c r="C333" s="167" t="s">
        <v>284</v>
      </c>
      <c r="D333" s="171" t="s">
        <v>917</v>
      </c>
      <c r="E333" s="171" t="s">
        <v>917</v>
      </c>
      <c r="F333" s="171" t="s">
        <v>917</v>
      </c>
      <c r="G333" s="171" t="s">
        <v>917</v>
      </c>
      <c r="H333" s="171" t="s">
        <v>917</v>
      </c>
      <c r="I333" s="171"/>
      <c r="J333" s="171"/>
      <c r="K333" s="171" t="s">
        <v>917</v>
      </c>
      <c r="L333" s="171" t="s">
        <v>917</v>
      </c>
      <c r="M333" s="171" t="s">
        <v>917</v>
      </c>
      <c r="N333" s="171" t="s">
        <v>917</v>
      </c>
      <c r="O333" s="301"/>
    </row>
    <row r="334" spans="1:15">
      <c r="A334" s="165" t="s">
        <v>945</v>
      </c>
      <c r="B334" s="210" t="s">
        <v>933</v>
      </c>
      <c r="C334" s="167" t="s">
        <v>929</v>
      </c>
      <c r="D334" s="171" t="s">
        <v>284</v>
      </c>
      <c r="E334" s="171" t="s">
        <v>284</v>
      </c>
      <c r="F334" s="171" t="s">
        <v>284</v>
      </c>
      <c r="G334" s="171" t="s">
        <v>284</v>
      </c>
      <c r="H334" s="171" t="s">
        <v>284</v>
      </c>
      <c r="I334" s="171"/>
      <c r="J334" s="171"/>
      <c r="K334" s="171" t="s">
        <v>284</v>
      </c>
      <c r="L334" s="171" t="s">
        <v>284</v>
      </c>
      <c r="M334" s="171" t="s">
        <v>284</v>
      </c>
      <c r="N334" s="171" t="s">
        <v>284</v>
      </c>
      <c r="O334" s="301"/>
    </row>
    <row r="335" spans="1:15">
      <c r="A335" s="165" t="s">
        <v>946</v>
      </c>
      <c r="B335" s="210" t="s">
        <v>935</v>
      </c>
      <c r="C335" s="167" t="s">
        <v>936</v>
      </c>
      <c r="D335" s="171" t="s">
        <v>284</v>
      </c>
      <c r="E335" s="171" t="s">
        <v>284</v>
      </c>
      <c r="F335" s="171" t="s">
        <v>284</v>
      </c>
      <c r="G335" s="171" t="s">
        <v>284</v>
      </c>
      <c r="H335" s="171" t="s">
        <v>284</v>
      </c>
      <c r="I335" s="171"/>
      <c r="J335" s="171"/>
      <c r="K335" s="171" t="s">
        <v>284</v>
      </c>
      <c r="L335" s="171" t="s">
        <v>284</v>
      </c>
      <c r="M335" s="171" t="s">
        <v>284</v>
      </c>
      <c r="N335" s="171" t="s">
        <v>284</v>
      </c>
      <c r="O335" s="301"/>
    </row>
    <row r="336" spans="1:15">
      <c r="A336" s="165" t="s">
        <v>947</v>
      </c>
      <c r="B336" s="189" t="s">
        <v>948</v>
      </c>
      <c r="C336" s="167" t="s">
        <v>284</v>
      </c>
      <c r="D336" s="171" t="s">
        <v>917</v>
      </c>
      <c r="E336" s="171" t="s">
        <v>917</v>
      </c>
      <c r="F336" s="171" t="s">
        <v>917</v>
      </c>
      <c r="G336" s="171" t="s">
        <v>917</v>
      </c>
      <c r="H336" s="171" t="s">
        <v>917</v>
      </c>
      <c r="I336" s="171"/>
      <c r="J336" s="171"/>
      <c r="K336" s="171" t="s">
        <v>917</v>
      </c>
      <c r="L336" s="171" t="s">
        <v>917</v>
      </c>
      <c r="M336" s="171" t="s">
        <v>917</v>
      </c>
      <c r="N336" s="171" t="s">
        <v>917</v>
      </c>
      <c r="O336" s="301"/>
    </row>
    <row r="337" spans="1:15">
      <c r="A337" s="165" t="s">
        <v>949</v>
      </c>
      <c r="B337" s="210" t="s">
        <v>933</v>
      </c>
      <c r="C337" s="167" t="s">
        <v>929</v>
      </c>
      <c r="D337" s="171" t="s">
        <v>284</v>
      </c>
      <c r="E337" s="171" t="s">
        <v>284</v>
      </c>
      <c r="F337" s="171" t="s">
        <v>284</v>
      </c>
      <c r="G337" s="171" t="s">
        <v>284</v>
      </c>
      <c r="H337" s="171" t="s">
        <v>284</v>
      </c>
      <c r="I337" s="171"/>
      <c r="J337" s="171"/>
      <c r="K337" s="171" t="s">
        <v>284</v>
      </c>
      <c r="L337" s="171" t="s">
        <v>284</v>
      </c>
      <c r="M337" s="171" t="s">
        <v>284</v>
      </c>
      <c r="N337" s="171" t="s">
        <v>284</v>
      </c>
      <c r="O337" s="301"/>
    </row>
    <row r="338" spans="1:15">
      <c r="A338" s="165" t="s">
        <v>950</v>
      </c>
      <c r="B338" s="210" t="s">
        <v>941</v>
      </c>
      <c r="C338" s="167" t="s">
        <v>42</v>
      </c>
      <c r="D338" s="171" t="s">
        <v>284</v>
      </c>
      <c r="E338" s="171" t="s">
        <v>284</v>
      </c>
      <c r="F338" s="171" t="s">
        <v>284</v>
      </c>
      <c r="G338" s="171" t="s">
        <v>284</v>
      </c>
      <c r="H338" s="171" t="s">
        <v>284</v>
      </c>
      <c r="I338" s="171"/>
      <c r="J338" s="171"/>
      <c r="K338" s="171" t="s">
        <v>284</v>
      </c>
      <c r="L338" s="171" t="s">
        <v>284</v>
      </c>
      <c r="M338" s="171" t="s">
        <v>284</v>
      </c>
      <c r="N338" s="171" t="s">
        <v>284</v>
      </c>
      <c r="O338" s="301"/>
    </row>
    <row r="339" spans="1:15">
      <c r="A339" s="165" t="s">
        <v>951</v>
      </c>
      <c r="B339" s="210" t="s">
        <v>935</v>
      </c>
      <c r="C339" s="167" t="s">
        <v>936</v>
      </c>
      <c r="D339" s="171" t="s">
        <v>284</v>
      </c>
      <c r="E339" s="171" t="s">
        <v>284</v>
      </c>
      <c r="F339" s="171" t="s">
        <v>284</v>
      </c>
      <c r="G339" s="171" t="s">
        <v>284</v>
      </c>
      <c r="H339" s="171" t="s">
        <v>284</v>
      </c>
      <c r="I339" s="171"/>
      <c r="J339" s="171"/>
      <c r="K339" s="171" t="s">
        <v>284</v>
      </c>
      <c r="L339" s="171" t="s">
        <v>284</v>
      </c>
      <c r="M339" s="171" t="s">
        <v>284</v>
      </c>
      <c r="N339" s="171" t="s">
        <v>284</v>
      </c>
      <c r="O339" s="301"/>
    </row>
    <row r="340" spans="1:15">
      <c r="A340" s="242" t="s">
        <v>952</v>
      </c>
      <c r="B340" s="243" t="s">
        <v>953</v>
      </c>
      <c r="C340" s="244" t="s">
        <v>284</v>
      </c>
      <c r="D340" s="257" t="s">
        <v>917</v>
      </c>
      <c r="E340" s="265" t="s">
        <v>917</v>
      </c>
      <c r="F340" s="265" t="s">
        <v>917</v>
      </c>
      <c r="G340" s="265" t="s">
        <v>917</v>
      </c>
      <c r="H340" s="265" t="s">
        <v>917</v>
      </c>
      <c r="I340" s="265"/>
      <c r="J340" s="265"/>
      <c r="K340" s="265" t="s">
        <v>917</v>
      </c>
      <c r="L340" s="265" t="s">
        <v>917</v>
      </c>
      <c r="M340" s="265" t="s">
        <v>917</v>
      </c>
      <c r="N340" s="265" t="s">
        <v>917</v>
      </c>
      <c r="O340" s="300"/>
    </row>
    <row r="341" spans="1:15" ht="31.5">
      <c r="A341" s="165" t="s">
        <v>954</v>
      </c>
      <c r="B341" s="189" t="s">
        <v>955</v>
      </c>
      <c r="C341" s="167" t="s">
        <v>929</v>
      </c>
      <c r="D341" s="171">
        <v>75.447000000000003</v>
      </c>
      <c r="E341" s="171">
        <v>75.147000000000006</v>
      </c>
      <c r="F341" s="186">
        <v>76.007000000000005</v>
      </c>
      <c r="G341" s="186">
        <f>G343+G344</f>
        <v>39.109000000000002</v>
      </c>
      <c r="H341" s="186">
        <f>H343+H344</f>
        <v>39.009</v>
      </c>
      <c r="I341" s="186">
        <f>I343+I344</f>
        <v>55.738999999999997</v>
      </c>
      <c r="J341" s="186">
        <f>J343+J344</f>
        <v>38.948999999999998</v>
      </c>
      <c r="K341" s="186">
        <v>76.007000000000005</v>
      </c>
      <c r="L341" s="186">
        <v>76.007000000000005</v>
      </c>
      <c r="M341" s="173">
        <f t="shared" ref="M341:M351" si="136">J341-F341</f>
        <v>-37.058000000000007</v>
      </c>
      <c r="N341" s="174">
        <f t="shared" ref="N341:N351" si="137">M341/F341</f>
        <v>-0.48756035628297401</v>
      </c>
      <c r="O341" s="287" t="s">
        <v>385</v>
      </c>
    </row>
    <row r="342" spans="1:15" ht="31.5">
      <c r="A342" s="165" t="s">
        <v>956</v>
      </c>
      <c r="B342" s="210" t="s">
        <v>957</v>
      </c>
      <c r="C342" s="167" t="s">
        <v>929</v>
      </c>
      <c r="D342" s="171">
        <v>0</v>
      </c>
      <c r="E342" s="171">
        <v>0</v>
      </c>
      <c r="F342" s="171">
        <v>0</v>
      </c>
      <c r="G342" s="171">
        <v>0</v>
      </c>
      <c r="H342" s="171">
        <v>0</v>
      </c>
      <c r="I342" s="171">
        <v>0</v>
      </c>
      <c r="J342" s="171">
        <v>0</v>
      </c>
      <c r="K342" s="171">
        <v>0</v>
      </c>
      <c r="L342" s="171">
        <v>0</v>
      </c>
      <c r="M342" s="173">
        <f t="shared" si="136"/>
        <v>0</v>
      </c>
      <c r="N342" s="174"/>
      <c r="O342" s="287" t="s">
        <v>385</v>
      </c>
    </row>
    <row r="343" spans="1:15">
      <c r="A343" s="165" t="s">
        <v>958</v>
      </c>
      <c r="B343" s="166" t="s">
        <v>959</v>
      </c>
      <c r="C343" s="167" t="s">
        <v>929</v>
      </c>
      <c r="D343" s="171">
        <f>2.473+0.073</f>
        <v>2.5459999999999998</v>
      </c>
      <c r="E343" s="171">
        <f>2.575+0.303</f>
        <v>2.8780000000000001</v>
      </c>
      <c r="F343" s="171">
        <f t="shared" ref="F343" si="138">2.575+0.405</f>
        <v>2.9800000000000004</v>
      </c>
      <c r="G343" s="186">
        <v>1.5049999999999999</v>
      </c>
      <c r="H343" s="171">
        <v>1.4710000000000001</v>
      </c>
      <c r="I343" s="186">
        <f>1.834+0.292</f>
        <v>2.1259999999999999</v>
      </c>
      <c r="J343" s="171">
        <f>1.288+0.207</f>
        <v>1.4950000000000001</v>
      </c>
      <c r="K343" s="171">
        <f t="shared" ref="K343:L343" si="139">2.575+0.405</f>
        <v>2.9800000000000004</v>
      </c>
      <c r="L343" s="171">
        <f t="shared" si="139"/>
        <v>2.9800000000000004</v>
      </c>
      <c r="M343" s="173">
        <f t="shared" si="136"/>
        <v>-1.4850000000000003</v>
      </c>
      <c r="N343" s="174">
        <f t="shared" si="137"/>
        <v>-0.49832214765100674</v>
      </c>
      <c r="O343" s="287" t="s">
        <v>385</v>
      </c>
    </row>
    <row r="344" spans="1:15">
      <c r="A344" s="165" t="s">
        <v>960</v>
      </c>
      <c r="B344" s="166" t="s">
        <v>961</v>
      </c>
      <c r="C344" s="167" t="s">
        <v>929</v>
      </c>
      <c r="D344" s="171">
        <f>D341-D343</f>
        <v>72.900999999999996</v>
      </c>
      <c r="E344" s="171">
        <f t="shared" ref="E344:F344" si="140">E341-E343</f>
        <v>72.269000000000005</v>
      </c>
      <c r="F344" s="171">
        <f t="shared" si="140"/>
        <v>73.027000000000001</v>
      </c>
      <c r="G344" s="171">
        <v>37.603999999999999</v>
      </c>
      <c r="H344" s="171">
        <v>37.537999999999997</v>
      </c>
      <c r="I344" s="171">
        <v>53.613</v>
      </c>
      <c r="J344" s="171">
        <f>37.454</f>
        <v>37.454000000000001</v>
      </c>
      <c r="K344" s="171">
        <f t="shared" ref="K344:L344" si="141">K341-K343</f>
        <v>73.027000000000001</v>
      </c>
      <c r="L344" s="171">
        <f t="shared" si="141"/>
        <v>73.027000000000001</v>
      </c>
      <c r="M344" s="173">
        <f t="shared" si="136"/>
        <v>-35.573</v>
      </c>
      <c r="N344" s="174">
        <f t="shared" si="137"/>
        <v>-0.48712120174729895</v>
      </c>
      <c r="O344" s="287" t="s">
        <v>385</v>
      </c>
    </row>
    <row r="345" spans="1:15">
      <c r="A345" s="165" t="s">
        <v>962</v>
      </c>
      <c r="B345" s="189" t="s">
        <v>963</v>
      </c>
      <c r="C345" s="167" t="s">
        <v>929</v>
      </c>
      <c r="D345" s="171">
        <v>14.342000000000001</v>
      </c>
      <c r="E345" s="171">
        <v>14.638</v>
      </c>
      <c r="F345" s="171">
        <v>12.108000000000001</v>
      </c>
      <c r="G345" s="171">
        <v>5.4489999999999998</v>
      </c>
      <c r="H345" s="171">
        <v>7.7359999999999998</v>
      </c>
      <c r="I345" s="171">
        <v>7.7240000000000002</v>
      </c>
      <c r="J345" s="171">
        <v>6.1769999999999996</v>
      </c>
      <c r="K345" s="171">
        <v>11.108000000000001</v>
      </c>
      <c r="L345" s="171">
        <v>12.108000000000001</v>
      </c>
      <c r="M345" s="173">
        <f t="shared" si="136"/>
        <v>-5.9310000000000009</v>
      </c>
      <c r="N345" s="174">
        <f t="shared" si="137"/>
        <v>-0.48984142715559964</v>
      </c>
      <c r="O345" s="287" t="s">
        <v>385</v>
      </c>
    </row>
    <row r="346" spans="1:15">
      <c r="A346" s="165" t="s">
        <v>964</v>
      </c>
      <c r="B346" s="189" t="s">
        <v>965</v>
      </c>
      <c r="C346" s="167" t="s">
        <v>42</v>
      </c>
      <c r="D346" s="171">
        <f t="shared" ref="D346:L346" si="142">D348+D349</f>
        <v>12.189</v>
      </c>
      <c r="E346" s="171">
        <f t="shared" si="142"/>
        <v>12.135</v>
      </c>
      <c r="F346" s="171">
        <f t="shared" si="142"/>
        <v>12.248999999999999</v>
      </c>
      <c r="G346" s="171">
        <f t="shared" si="142"/>
        <v>12.248999999999999</v>
      </c>
      <c r="H346" s="171">
        <f t="shared" si="142"/>
        <v>12.248999999999999</v>
      </c>
      <c r="I346" s="171">
        <v>12.249000000000001</v>
      </c>
      <c r="J346" s="186">
        <f t="shared" ref="J346" si="143">J348+J349</f>
        <v>12.25</v>
      </c>
      <c r="K346" s="171">
        <f t="shared" si="142"/>
        <v>12.248999999999999</v>
      </c>
      <c r="L346" s="171">
        <f t="shared" si="142"/>
        <v>12.248999999999999</v>
      </c>
      <c r="M346" s="173">
        <f t="shared" si="136"/>
        <v>1.0000000000012221E-3</v>
      </c>
      <c r="N346" s="174">
        <f t="shared" si="137"/>
        <v>8.1639317495405518E-5</v>
      </c>
      <c r="O346" s="287" t="s">
        <v>385</v>
      </c>
    </row>
    <row r="347" spans="1:15" ht="31.5">
      <c r="A347" s="165" t="s">
        <v>966</v>
      </c>
      <c r="B347" s="210" t="s">
        <v>967</v>
      </c>
      <c r="C347" s="167" t="s">
        <v>42</v>
      </c>
      <c r="D347" s="171">
        <v>0</v>
      </c>
      <c r="E347" s="171">
        <v>0</v>
      </c>
      <c r="F347" s="171">
        <v>0</v>
      </c>
      <c r="G347" s="171">
        <v>0</v>
      </c>
      <c r="H347" s="171">
        <v>0</v>
      </c>
      <c r="I347" s="171">
        <v>0</v>
      </c>
      <c r="J347" s="171">
        <v>0</v>
      </c>
      <c r="K347" s="171">
        <v>0</v>
      </c>
      <c r="L347" s="171">
        <v>0</v>
      </c>
      <c r="M347" s="173">
        <f t="shared" si="136"/>
        <v>0</v>
      </c>
      <c r="N347" s="174"/>
      <c r="O347" s="287" t="s">
        <v>385</v>
      </c>
    </row>
    <row r="348" spans="1:15">
      <c r="A348" s="165" t="s">
        <v>968</v>
      </c>
      <c r="B348" s="166" t="s">
        <v>959</v>
      </c>
      <c r="C348" s="167" t="s">
        <v>42</v>
      </c>
      <c r="D348" s="171">
        <f>0.062+0.414</f>
        <v>0.47599999999999998</v>
      </c>
      <c r="E348" s="171">
        <f>0.042+0.414</f>
        <v>0.45599999999999996</v>
      </c>
      <c r="F348" s="171">
        <v>0.46600000000000003</v>
      </c>
      <c r="G348" s="171">
        <v>0.46600000000000003</v>
      </c>
      <c r="H348" s="171">
        <v>0.46600000000000003</v>
      </c>
      <c r="I348" s="171">
        <v>0.46600000000000003</v>
      </c>
      <c r="J348" s="171">
        <v>0.46500000000000002</v>
      </c>
      <c r="K348" s="171">
        <v>0.46600000000000003</v>
      </c>
      <c r="L348" s="171">
        <v>0.46600000000000003</v>
      </c>
      <c r="M348" s="173">
        <f t="shared" si="136"/>
        <v>-1.0000000000000009E-3</v>
      </c>
      <c r="N348" s="174">
        <f t="shared" si="137"/>
        <v>-2.1459227467811176E-3</v>
      </c>
      <c r="O348" s="287" t="s">
        <v>385</v>
      </c>
    </row>
    <row r="349" spans="1:15">
      <c r="A349" s="165" t="s">
        <v>969</v>
      </c>
      <c r="B349" s="166" t="s">
        <v>961</v>
      </c>
      <c r="C349" s="167" t="s">
        <v>42</v>
      </c>
      <c r="D349" s="171">
        <v>11.712999999999999</v>
      </c>
      <c r="E349" s="186">
        <v>11.679</v>
      </c>
      <c r="F349" s="171">
        <v>11.782999999999999</v>
      </c>
      <c r="G349" s="171">
        <v>11.782999999999999</v>
      </c>
      <c r="H349" s="171">
        <v>11.782999999999999</v>
      </c>
      <c r="I349" s="171">
        <v>11.782999999999999</v>
      </c>
      <c r="J349" s="171">
        <v>11.785</v>
      </c>
      <c r="K349" s="171">
        <v>11.782999999999999</v>
      </c>
      <c r="L349" s="171">
        <v>11.782999999999999</v>
      </c>
      <c r="M349" s="173">
        <f t="shared" si="136"/>
        <v>2.0000000000006679E-3</v>
      </c>
      <c r="N349" s="174">
        <f t="shared" si="137"/>
        <v>1.697360604260942E-4</v>
      </c>
      <c r="O349" s="287" t="s">
        <v>385</v>
      </c>
    </row>
    <row r="350" spans="1:15">
      <c r="A350" s="165" t="s">
        <v>970</v>
      </c>
      <c r="B350" s="189" t="s">
        <v>971</v>
      </c>
      <c r="C350" s="167" t="s">
        <v>972</v>
      </c>
      <c r="D350" s="171">
        <v>2086.58</v>
      </c>
      <c r="E350" s="171">
        <v>2086.58</v>
      </c>
      <c r="F350" s="171">
        <v>2086.58</v>
      </c>
      <c r="G350" s="171">
        <v>2086.58</v>
      </c>
      <c r="H350" s="171">
        <v>2086.58</v>
      </c>
      <c r="I350" s="171">
        <v>2086.58</v>
      </c>
      <c r="J350" s="171">
        <v>2086.23</v>
      </c>
      <c r="K350" s="171">
        <v>2102.13</v>
      </c>
      <c r="L350" s="171">
        <v>2102.13</v>
      </c>
      <c r="M350" s="173">
        <f t="shared" si="136"/>
        <v>-0.34999999999990905</v>
      </c>
      <c r="N350" s="174">
        <f t="shared" si="137"/>
        <v>-1.677385961716824E-4</v>
      </c>
      <c r="O350" s="287" t="s">
        <v>385</v>
      </c>
    </row>
    <row r="351" spans="1:15" ht="31.5">
      <c r="A351" s="165" t="s">
        <v>973</v>
      </c>
      <c r="B351" s="189" t="s">
        <v>974</v>
      </c>
      <c r="C351" s="167" t="s">
        <v>476</v>
      </c>
      <c r="D351" s="171">
        <f>D30-D65-D58</f>
        <v>63.34</v>
      </c>
      <c r="E351" s="171">
        <f t="shared" ref="E351:L351" si="144">E30-E65-E58</f>
        <v>77.431999999999988</v>
      </c>
      <c r="F351" s="171">
        <f t="shared" si="144"/>
        <v>88.246999999999986</v>
      </c>
      <c r="G351" s="171">
        <f t="shared" si="144"/>
        <v>42.815000000000005</v>
      </c>
      <c r="H351" s="171">
        <f t="shared" si="144"/>
        <v>39.951000000000008</v>
      </c>
      <c r="I351" s="171">
        <f t="shared" ref="I351:J351" si="145">I30-I65-I58</f>
        <v>62.731000000000002</v>
      </c>
      <c r="J351" s="171">
        <f t="shared" si="145"/>
        <v>39.585000000000001</v>
      </c>
      <c r="K351" s="171">
        <f t="shared" si="144"/>
        <v>90.340999999999994</v>
      </c>
      <c r="L351" s="171">
        <f t="shared" si="144"/>
        <v>90.340999999999994</v>
      </c>
      <c r="M351" s="173">
        <f t="shared" si="136"/>
        <v>-48.661999999999985</v>
      </c>
      <c r="N351" s="174">
        <f t="shared" si="137"/>
        <v>-0.55142951035162657</v>
      </c>
      <c r="O351" s="287" t="s">
        <v>385</v>
      </c>
    </row>
    <row r="352" spans="1:15">
      <c r="A352" s="254" t="s">
        <v>975</v>
      </c>
      <c r="B352" s="255" t="s">
        <v>976</v>
      </c>
      <c r="C352" s="256" t="s">
        <v>284</v>
      </c>
      <c r="D352" s="257" t="s">
        <v>917</v>
      </c>
      <c r="E352" s="257" t="s">
        <v>917</v>
      </c>
      <c r="F352" s="257" t="s">
        <v>917</v>
      </c>
      <c r="G352" s="257" t="s">
        <v>917</v>
      </c>
      <c r="H352" s="257" t="s">
        <v>917</v>
      </c>
      <c r="I352" s="257"/>
      <c r="J352" s="257"/>
      <c r="K352" s="257" t="s">
        <v>917</v>
      </c>
      <c r="L352" s="257" t="s">
        <v>917</v>
      </c>
      <c r="M352" s="257"/>
      <c r="N352" s="257"/>
      <c r="O352" s="266"/>
    </row>
    <row r="353" spans="1:15">
      <c r="A353" s="165" t="s">
        <v>977</v>
      </c>
      <c r="B353" s="189" t="s">
        <v>978</v>
      </c>
      <c r="C353" s="167" t="s">
        <v>929</v>
      </c>
      <c r="D353" s="171" t="s">
        <v>284</v>
      </c>
      <c r="E353" s="171" t="s">
        <v>284</v>
      </c>
      <c r="F353" s="171" t="s">
        <v>284</v>
      </c>
      <c r="G353" s="171" t="s">
        <v>284</v>
      </c>
      <c r="H353" s="171" t="s">
        <v>284</v>
      </c>
      <c r="I353" s="171" t="s">
        <v>284</v>
      </c>
      <c r="J353" s="171" t="s">
        <v>284</v>
      </c>
      <c r="K353" s="171" t="s">
        <v>284</v>
      </c>
      <c r="L353" s="171" t="s">
        <v>284</v>
      </c>
      <c r="M353" s="171"/>
      <c r="N353" s="171"/>
      <c r="O353" s="301"/>
    </row>
    <row r="354" spans="1:15">
      <c r="A354" s="165" t="s">
        <v>979</v>
      </c>
      <c r="B354" s="189" t="s">
        <v>980</v>
      </c>
      <c r="C354" s="167" t="s">
        <v>922</v>
      </c>
      <c r="D354" s="171" t="s">
        <v>284</v>
      </c>
      <c r="E354" s="171" t="s">
        <v>284</v>
      </c>
      <c r="F354" s="171" t="s">
        <v>284</v>
      </c>
      <c r="G354" s="171" t="s">
        <v>284</v>
      </c>
      <c r="H354" s="171" t="s">
        <v>284</v>
      </c>
      <c r="I354" s="171" t="s">
        <v>284</v>
      </c>
      <c r="J354" s="171" t="s">
        <v>284</v>
      </c>
      <c r="K354" s="171" t="s">
        <v>284</v>
      </c>
      <c r="L354" s="171" t="s">
        <v>284</v>
      </c>
      <c r="M354" s="171"/>
      <c r="N354" s="171"/>
      <c r="O354" s="301"/>
    </row>
    <row r="355" spans="1:15" ht="47.25">
      <c r="A355" s="165" t="s">
        <v>981</v>
      </c>
      <c r="B355" s="189" t="s">
        <v>982</v>
      </c>
      <c r="C355" s="167" t="s">
        <v>476</v>
      </c>
      <c r="D355" s="171" t="s">
        <v>284</v>
      </c>
      <c r="E355" s="171" t="s">
        <v>284</v>
      </c>
      <c r="F355" s="171" t="s">
        <v>284</v>
      </c>
      <c r="G355" s="171" t="s">
        <v>284</v>
      </c>
      <c r="H355" s="171" t="s">
        <v>284</v>
      </c>
      <c r="I355" s="171" t="s">
        <v>284</v>
      </c>
      <c r="J355" s="171" t="s">
        <v>284</v>
      </c>
      <c r="K355" s="171" t="s">
        <v>284</v>
      </c>
      <c r="L355" s="171" t="s">
        <v>284</v>
      </c>
      <c r="M355" s="171"/>
      <c r="N355" s="171"/>
      <c r="O355" s="301"/>
    </row>
    <row r="356" spans="1:15" ht="31.5">
      <c r="A356" s="165" t="s">
        <v>983</v>
      </c>
      <c r="B356" s="189" t="s">
        <v>984</v>
      </c>
      <c r="C356" s="167" t="s">
        <v>476</v>
      </c>
      <c r="D356" s="171" t="s">
        <v>284</v>
      </c>
      <c r="E356" s="171" t="s">
        <v>284</v>
      </c>
      <c r="F356" s="171" t="s">
        <v>284</v>
      </c>
      <c r="G356" s="171" t="s">
        <v>284</v>
      </c>
      <c r="H356" s="171" t="s">
        <v>284</v>
      </c>
      <c r="I356" s="171" t="s">
        <v>284</v>
      </c>
      <c r="J356" s="171" t="s">
        <v>284</v>
      </c>
      <c r="K356" s="171" t="s">
        <v>284</v>
      </c>
      <c r="L356" s="171" t="s">
        <v>284</v>
      </c>
      <c r="M356" s="171"/>
      <c r="N356" s="171"/>
      <c r="O356" s="301"/>
    </row>
    <row r="357" spans="1:15">
      <c r="A357" s="254" t="s">
        <v>985</v>
      </c>
      <c r="B357" s="255" t="s">
        <v>986</v>
      </c>
      <c r="C357" s="266" t="s">
        <v>284</v>
      </c>
      <c r="D357" s="257" t="s">
        <v>917</v>
      </c>
      <c r="E357" s="257" t="s">
        <v>917</v>
      </c>
      <c r="F357" s="257" t="s">
        <v>917</v>
      </c>
      <c r="G357" s="257" t="s">
        <v>917</v>
      </c>
      <c r="H357" s="257" t="s">
        <v>917</v>
      </c>
      <c r="I357" s="257"/>
      <c r="J357" s="257"/>
      <c r="K357" s="257" t="s">
        <v>917</v>
      </c>
      <c r="L357" s="257" t="s">
        <v>917</v>
      </c>
      <c r="M357" s="257"/>
      <c r="N357" s="257"/>
      <c r="O357" s="266"/>
    </row>
    <row r="358" spans="1:15">
      <c r="A358" s="165" t="s">
        <v>987</v>
      </c>
      <c r="B358" s="189" t="s">
        <v>988</v>
      </c>
      <c r="C358" s="167" t="s">
        <v>42</v>
      </c>
      <c r="D358" s="171" t="s">
        <v>284</v>
      </c>
      <c r="E358" s="171" t="s">
        <v>284</v>
      </c>
      <c r="F358" s="171" t="s">
        <v>284</v>
      </c>
      <c r="G358" s="171" t="s">
        <v>284</v>
      </c>
      <c r="H358" s="171" t="s">
        <v>284</v>
      </c>
      <c r="I358" s="171" t="s">
        <v>284</v>
      </c>
      <c r="J358" s="171" t="s">
        <v>284</v>
      </c>
      <c r="K358" s="171" t="s">
        <v>284</v>
      </c>
      <c r="L358" s="171" t="s">
        <v>284</v>
      </c>
      <c r="M358" s="171"/>
      <c r="N358" s="171"/>
      <c r="O358" s="301"/>
    </row>
    <row r="359" spans="1:15" ht="47.25">
      <c r="A359" s="165" t="s">
        <v>989</v>
      </c>
      <c r="B359" s="210" t="s">
        <v>990</v>
      </c>
      <c r="C359" s="167" t="s">
        <v>42</v>
      </c>
      <c r="D359" s="171" t="s">
        <v>284</v>
      </c>
      <c r="E359" s="171" t="s">
        <v>284</v>
      </c>
      <c r="F359" s="171" t="s">
        <v>284</v>
      </c>
      <c r="G359" s="171" t="s">
        <v>284</v>
      </c>
      <c r="H359" s="171" t="s">
        <v>284</v>
      </c>
      <c r="I359" s="171" t="s">
        <v>284</v>
      </c>
      <c r="J359" s="171" t="s">
        <v>284</v>
      </c>
      <c r="K359" s="171" t="s">
        <v>284</v>
      </c>
      <c r="L359" s="171" t="s">
        <v>284</v>
      </c>
      <c r="M359" s="171"/>
      <c r="N359" s="171"/>
      <c r="O359" s="301"/>
    </row>
    <row r="360" spans="1:15" ht="47.25">
      <c r="A360" s="165" t="s">
        <v>991</v>
      </c>
      <c r="B360" s="210" t="s">
        <v>992</v>
      </c>
      <c r="C360" s="167" t="s">
        <v>42</v>
      </c>
      <c r="D360" s="171" t="s">
        <v>284</v>
      </c>
      <c r="E360" s="171" t="s">
        <v>284</v>
      </c>
      <c r="F360" s="171" t="s">
        <v>284</v>
      </c>
      <c r="G360" s="171" t="s">
        <v>284</v>
      </c>
      <c r="H360" s="171" t="s">
        <v>284</v>
      </c>
      <c r="I360" s="171" t="s">
        <v>284</v>
      </c>
      <c r="J360" s="171" t="s">
        <v>284</v>
      </c>
      <c r="K360" s="171" t="s">
        <v>284</v>
      </c>
      <c r="L360" s="171" t="s">
        <v>284</v>
      </c>
      <c r="M360" s="171"/>
      <c r="N360" s="171"/>
      <c r="O360" s="301"/>
    </row>
    <row r="361" spans="1:15" ht="31.5">
      <c r="A361" s="165" t="s">
        <v>993</v>
      </c>
      <c r="B361" s="210" t="s">
        <v>994</v>
      </c>
      <c r="C361" s="167" t="s">
        <v>42</v>
      </c>
      <c r="D361" s="171" t="s">
        <v>284</v>
      </c>
      <c r="E361" s="171" t="s">
        <v>284</v>
      </c>
      <c r="F361" s="171" t="s">
        <v>284</v>
      </c>
      <c r="G361" s="171" t="s">
        <v>284</v>
      </c>
      <c r="H361" s="171" t="s">
        <v>284</v>
      </c>
      <c r="I361" s="171" t="s">
        <v>284</v>
      </c>
      <c r="J361" s="171" t="s">
        <v>284</v>
      </c>
      <c r="K361" s="171" t="s">
        <v>284</v>
      </c>
      <c r="L361" s="171" t="s">
        <v>284</v>
      </c>
      <c r="M361" s="171"/>
      <c r="N361" s="171"/>
      <c r="O361" s="301" t="s">
        <v>284</v>
      </c>
    </row>
    <row r="362" spans="1:15">
      <c r="A362" s="165" t="s">
        <v>995</v>
      </c>
      <c r="B362" s="189" t="s">
        <v>996</v>
      </c>
      <c r="C362" s="167" t="s">
        <v>929</v>
      </c>
      <c r="D362" s="171" t="s">
        <v>284</v>
      </c>
      <c r="E362" s="171" t="s">
        <v>284</v>
      </c>
      <c r="F362" s="171" t="s">
        <v>284</v>
      </c>
      <c r="G362" s="171" t="s">
        <v>284</v>
      </c>
      <c r="H362" s="171" t="s">
        <v>284</v>
      </c>
      <c r="I362" s="171" t="s">
        <v>284</v>
      </c>
      <c r="J362" s="171" t="s">
        <v>284</v>
      </c>
      <c r="K362" s="171" t="s">
        <v>284</v>
      </c>
      <c r="L362" s="171" t="s">
        <v>284</v>
      </c>
      <c r="M362" s="171"/>
      <c r="N362" s="171"/>
      <c r="O362" s="301" t="s">
        <v>284</v>
      </c>
    </row>
    <row r="363" spans="1:15" ht="31.5">
      <c r="A363" s="165" t="s">
        <v>997</v>
      </c>
      <c r="B363" s="210" t="s">
        <v>998</v>
      </c>
      <c r="C363" s="167" t="s">
        <v>929</v>
      </c>
      <c r="D363" s="171" t="s">
        <v>284</v>
      </c>
      <c r="E363" s="171" t="s">
        <v>284</v>
      </c>
      <c r="F363" s="171" t="s">
        <v>284</v>
      </c>
      <c r="G363" s="171" t="s">
        <v>284</v>
      </c>
      <c r="H363" s="171" t="s">
        <v>284</v>
      </c>
      <c r="I363" s="171" t="s">
        <v>284</v>
      </c>
      <c r="J363" s="171" t="s">
        <v>284</v>
      </c>
      <c r="K363" s="171" t="s">
        <v>284</v>
      </c>
      <c r="L363" s="171" t="s">
        <v>284</v>
      </c>
      <c r="M363" s="171"/>
      <c r="N363" s="171"/>
      <c r="O363" s="301" t="s">
        <v>284</v>
      </c>
    </row>
    <row r="364" spans="1:15">
      <c r="A364" s="165" t="s">
        <v>999</v>
      </c>
      <c r="B364" s="210" t="s">
        <v>1000</v>
      </c>
      <c r="C364" s="167" t="s">
        <v>929</v>
      </c>
      <c r="D364" s="171" t="s">
        <v>284</v>
      </c>
      <c r="E364" s="171" t="s">
        <v>284</v>
      </c>
      <c r="F364" s="171" t="s">
        <v>284</v>
      </c>
      <c r="G364" s="171" t="s">
        <v>284</v>
      </c>
      <c r="H364" s="171" t="s">
        <v>284</v>
      </c>
      <c r="I364" s="171" t="s">
        <v>284</v>
      </c>
      <c r="J364" s="171" t="s">
        <v>284</v>
      </c>
      <c r="K364" s="171" t="s">
        <v>284</v>
      </c>
      <c r="L364" s="171" t="s">
        <v>284</v>
      </c>
      <c r="M364" s="171"/>
      <c r="N364" s="171"/>
      <c r="O364" s="301" t="s">
        <v>284</v>
      </c>
    </row>
    <row r="365" spans="1:15" ht="31.5">
      <c r="A365" s="165" t="s">
        <v>1001</v>
      </c>
      <c r="B365" s="189" t="s">
        <v>1002</v>
      </c>
      <c r="C365" s="167" t="s">
        <v>476</v>
      </c>
      <c r="D365" s="171" t="s">
        <v>284</v>
      </c>
      <c r="E365" s="171" t="s">
        <v>284</v>
      </c>
      <c r="F365" s="171" t="s">
        <v>284</v>
      </c>
      <c r="G365" s="171" t="s">
        <v>284</v>
      </c>
      <c r="H365" s="171" t="s">
        <v>284</v>
      </c>
      <c r="I365" s="171" t="s">
        <v>284</v>
      </c>
      <c r="J365" s="171" t="s">
        <v>284</v>
      </c>
      <c r="K365" s="171" t="s">
        <v>284</v>
      </c>
      <c r="L365" s="171" t="s">
        <v>284</v>
      </c>
      <c r="M365" s="171"/>
      <c r="N365" s="171"/>
      <c r="O365" s="301" t="s">
        <v>284</v>
      </c>
    </row>
    <row r="366" spans="1:15">
      <c r="A366" s="165" t="s">
        <v>1003</v>
      </c>
      <c r="B366" s="210" t="s">
        <v>1004</v>
      </c>
      <c r="C366" s="167" t="s">
        <v>476</v>
      </c>
      <c r="D366" s="171" t="s">
        <v>284</v>
      </c>
      <c r="E366" s="171" t="s">
        <v>284</v>
      </c>
      <c r="F366" s="171" t="s">
        <v>284</v>
      </c>
      <c r="G366" s="171" t="s">
        <v>284</v>
      </c>
      <c r="H366" s="171" t="s">
        <v>284</v>
      </c>
      <c r="I366" s="171" t="s">
        <v>284</v>
      </c>
      <c r="J366" s="171" t="s">
        <v>284</v>
      </c>
      <c r="K366" s="171" t="s">
        <v>284</v>
      </c>
      <c r="L366" s="171" t="s">
        <v>284</v>
      </c>
      <c r="M366" s="171"/>
      <c r="N366" s="171"/>
      <c r="O366" s="301" t="s">
        <v>284</v>
      </c>
    </row>
    <row r="367" spans="1:15">
      <c r="A367" s="165" t="s">
        <v>1005</v>
      </c>
      <c r="B367" s="210" t="s">
        <v>499</v>
      </c>
      <c r="C367" s="167" t="s">
        <v>476</v>
      </c>
      <c r="D367" s="171" t="s">
        <v>284</v>
      </c>
      <c r="E367" s="171" t="s">
        <v>284</v>
      </c>
      <c r="F367" s="171" t="s">
        <v>284</v>
      </c>
      <c r="G367" s="171" t="s">
        <v>284</v>
      </c>
      <c r="H367" s="171" t="s">
        <v>284</v>
      </c>
      <c r="I367" s="171" t="s">
        <v>284</v>
      </c>
      <c r="J367" s="171" t="s">
        <v>284</v>
      </c>
      <c r="K367" s="171" t="s">
        <v>284</v>
      </c>
      <c r="L367" s="171" t="s">
        <v>284</v>
      </c>
      <c r="M367" s="171"/>
      <c r="N367" s="171"/>
      <c r="O367" s="301" t="s">
        <v>284</v>
      </c>
    </row>
    <row r="368" spans="1:15" ht="16.5" thickBot="1">
      <c r="A368" s="267" t="s">
        <v>1006</v>
      </c>
      <c r="B368" s="268" t="s">
        <v>1007</v>
      </c>
      <c r="C368" s="269" t="s">
        <v>1008</v>
      </c>
      <c r="D368" s="270">
        <v>98</v>
      </c>
      <c r="E368" s="270">
        <v>105</v>
      </c>
      <c r="F368" s="270"/>
      <c r="G368" s="270">
        <v>106</v>
      </c>
      <c r="H368" s="270">
        <v>109</v>
      </c>
      <c r="I368" s="270">
        <v>106</v>
      </c>
      <c r="J368" s="270"/>
      <c r="K368" s="271">
        <f>F368</f>
        <v>0</v>
      </c>
      <c r="L368" s="271">
        <f t="shared" ref="L368" si="146">H368</f>
        <v>109</v>
      </c>
      <c r="M368" s="310"/>
      <c r="N368" s="311"/>
      <c r="O368" s="302"/>
    </row>
    <row r="369" spans="1:15">
      <c r="A369" s="422" t="s">
        <v>1009</v>
      </c>
      <c r="B369" s="423"/>
      <c r="C369" s="423"/>
      <c r="D369" s="423"/>
      <c r="E369" s="423"/>
      <c r="F369" s="423"/>
      <c r="G369" s="423"/>
      <c r="H369" s="423"/>
      <c r="I369" s="423"/>
      <c r="J369" s="423"/>
      <c r="K369" s="423"/>
      <c r="L369" s="423"/>
      <c r="M369" s="423"/>
      <c r="N369" s="423"/>
      <c r="O369" s="424"/>
    </row>
    <row r="370" spans="1:15" ht="16.5" thickBot="1">
      <c r="A370" s="422"/>
      <c r="B370" s="423"/>
      <c r="C370" s="423"/>
      <c r="D370" s="423"/>
      <c r="E370" s="423"/>
      <c r="F370" s="423"/>
      <c r="G370" s="423"/>
      <c r="H370" s="423"/>
      <c r="I370" s="423"/>
      <c r="J370" s="423"/>
      <c r="K370" s="423"/>
      <c r="L370" s="423"/>
      <c r="M370" s="423"/>
      <c r="N370" s="423"/>
      <c r="O370" s="424"/>
    </row>
    <row r="371" spans="1:15" ht="78.75" customHeight="1">
      <c r="A371" s="425" t="s">
        <v>456</v>
      </c>
      <c r="B371" s="427" t="s">
        <v>457</v>
      </c>
      <c r="C371" s="429" t="s">
        <v>458</v>
      </c>
      <c r="D371" s="208" t="s">
        <v>459</v>
      </c>
      <c r="E371" s="209" t="s">
        <v>460</v>
      </c>
      <c r="F371" s="434" t="s">
        <v>461</v>
      </c>
      <c r="G371" s="435"/>
      <c r="H371" s="435"/>
      <c r="I371" s="435"/>
      <c r="J371" s="436"/>
      <c r="K371" s="427" t="s">
        <v>461</v>
      </c>
      <c r="L371" s="427"/>
      <c r="M371" s="431" t="s">
        <v>462</v>
      </c>
      <c r="N371" s="431"/>
      <c r="O371" s="432" t="s">
        <v>25</v>
      </c>
    </row>
    <row r="372" spans="1:15" ht="77.25">
      <c r="A372" s="426"/>
      <c r="B372" s="428"/>
      <c r="C372" s="430"/>
      <c r="D372" s="212" t="s">
        <v>7</v>
      </c>
      <c r="E372" s="212" t="s">
        <v>7</v>
      </c>
      <c r="F372" s="158" t="s">
        <v>1133</v>
      </c>
      <c r="G372" s="158" t="s">
        <v>463</v>
      </c>
      <c r="H372" s="158" t="s">
        <v>464</v>
      </c>
      <c r="I372" s="158" t="s">
        <v>1106</v>
      </c>
      <c r="J372" s="158" t="s">
        <v>1140</v>
      </c>
      <c r="K372" s="213" t="s">
        <v>6</v>
      </c>
      <c r="L372" s="213" t="s">
        <v>466</v>
      </c>
      <c r="M372" s="158" t="s">
        <v>467</v>
      </c>
      <c r="N372" s="158" t="s">
        <v>468</v>
      </c>
      <c r="O372" s="433"/>
    </row>
    <row r="373" spans="1:15" ht="16.5" thickBot="1">
      <c r="A373" s="214">
        <v>1</v>
      </c>
      <c r="B373" s="215">
        <v>2</v>
      </c>
      <c r="C373" s="216">
        <v>3</v>
      </c>
      <c r="D373" s="217">
        <v>5</v>
      </c>
      <c r="E373" s="217">
        <v>6</v>
      </c>
      <c r="F373" s="217">
        <v>4</v>
      </c>
      <c r="G373" s="217">
        <v>4</v>
      </c>
      <c r="H373" s="217">
        <v>5</v>
      </c>
      <c r="I373" s="217"/>
      <c r="J373" s="217"/>
      <c r="K373" s="217">
        <v>9</v>
      </c>
      <c r="L373" s="217">
        <v>10</v>
      </c>
      <c r="M373" s="217">
        <v>6</v>
      </c>
      <c r="N373" s="217">
        <v>7</v>
      </c>
      <c r="O373" s="303">
        <v>8</v>
      </c>
    </row>
    <row r="374" spans="1:15">
      <c r="A374" s="437" t="s">
        <v>1010</v>
      </c>
      <c r="B374" s="438"/>
      <c r="C374" s="184" t="s">
        <v>476</v>
      </c>
      <c r="D374" s="218">
        <f>D375+D432</f>
        <v>11.025499999999999</v>
      </c>
      <c r="E374" s="218">
        <f t="shared" ref="E374:L374" si="147">E375+E432</f>
        <v>1.379</v>
      </c>
      <c r="F374" s="218">
        <f t="shared" si="147"/>
        <v>13.34</v>
      </c>
      <c r="G374" s="218">
        <f t="shared" si="147"/>
        <v>8.3789999999999996</v>
      </c>
      <c r="H374" s="218">
        <f t="shared" si="147"/>
        <v>2.899</v>
      </c>
      <c r="I374" s="218">
        <f t="shared" ref="I374:J374" si="148">I375+I432</f>
        <v>10.402000000000001</v>
      </c>
      <c r="J374" s="218">
        <f t="shared" si="148"/>
        <v>6.899</v>
      </c>
      <c r="K374" s="218">
        <f t="shared" si="147"/>
        <v>13.34</v>
      </c>
      <c r="L374" s="218">
        <f t="shared" si="147"/>
        <v>13.34</v>
      </c>
      <c r="M374" s="173">
        <f t="shared" ref="M374:M377" si="149">J374-F374</f>
        <v>-6.4409999999999998</v>
      </c>
      <c r="N374" s="174">
        <f t="shared" ref="N374:N377" si="150">M374/F374</f>
        <v>-0.48283358320839581</v>
      </c>
      <c r="O374" s="287" t="s">
        <v>385</v>
      </c>
    </row>
    <row r="375" spans="1:15">
      <c r="A375" s="165" t="s">
        <v>474</v>
      </c>
      <c r="B375" s="220" t="s">
        <v>1011</v>
      </c>
      <c r="C375" s="167" t="s">
        <v>476</v>
      </c>
      <c r="D375" s="221">
        <f>D376+D400+D428+D429</f>
        <v>11.025499999999999</v>
      </c>
      <c r="E375" s="221">
        <f t="shared" ref="E375:L375" si="151">E376+E400+E428+E429</f>
        <v>1.379</v>
      </c>
      <c r="F375" s="221">
        <f t="shared" si="151"/>
        <v>13.34</v>
      </c>
      <c r="G375" s="221">
        <f t="shared" si="151"/>
        <v>8.3789999999999996</v>
      </c>
      <c r="H375" s="221">
        <f t="shared" si="151"/>
        <v>2.899</v>
      </c>
      <c r="I375" s="221">
        <f t="shared" ref="I375:J375" si="152">I376+I400+I428+I429</f>
        <v>10.402000000000001</v>
      </c>
      <c r="J375" s="221">
        <f t="shared" si="152"/>
        <v>6.899</v>
      </c>
      <c r="K375" s="221">
        <f t="shared" si="151"/>
        <v>13.34</v>
      </c>
      <c r="L375" s="221">
        <f t="shared" si="151"/>
        <v>13.34</v>
      </c>
      <c r="M375" s="173">
        <f t="shared" si="149"/>
        <v>-6.4409999999999998</v>
      </c>
      <c r="N375" s="174">
        <f t="shared" si="150"/>
        <v>-0.48283358320839581</v>
      </c>
      <c r="O375" s="287" t="s">
        <v>385</v>
      </c>
    </row>
    <row r="376" spans="1:15">
      <c r="A376" s="165" t="s">
        <v>477</v>
      </c>
      <c r="B376" s="189" t="s">
        <v>1012</v>
      </c>
      <c r="C376" s="167" t="s">
        <v>476</v>
      </c>
      <c r="D376" s="221">
        <f>D377+D395+D399</f>
        <v>3.68</v>
      </c>
      <c r="E376" s="221">
        <f t="shared" ref="E376:L376" si="153">E377+E395+E399</f>
        <v>0</v>
      </c>
      <c r="F376" s="221">
        <f t="shared" si="153"/>
        <v>8.7370000000000001</v>
      </c>
      <c r="G376" s="221">
        <f t="shared" si="153"/>
        <v>5.08</v>
      </c>
      <c r="H376" s="221">
        <f t="shared" si="153"/>
        <v>0.49</v>
      </c>
      <c r="I376" s="221">
        <f t="shared" ref="I376:J376" si="154">I377+I395+I399</f>
        <v>5.7670000000000003</v>
      </c>
      <c r="J376" s="221">
        <f t="shared" si="154"/>
        <v>4.0369999999999999</v>
      </c>
      <c r="K376" s="221">
        <f t="shared" si="153"/>
        <v>4.8609999999999998</v>
      </c>
      <c r="L376" s="221">
        <f t="shared" si="153"/>
        <v>4.8609999999999998</v>
      </c>
      <c r="M376" s="173">
        <f t="shared" si="149"/>
        <v>-4.7</v>
      </c>
      <c r="N376" s="174">
        <f t="shared" si="150"/>
        <v>-0.53794208538399912</v>
      </c>
      <c r="O376" s="287" t="s">
        <v>385</v>
      </c>
    </row>
    <row r="377" spans="1:15" ht="31.5">
      <c r="A377" s="165" t="s">
        <v>479</v>
      </c>
      <c r="B377" s="210" t="s">
        <v>1013</v>
      </c>
      <c r="C377" s="167" t="s">
        <v>476</v>
      </c>
      <c r="D377" s="219">
        <f>D383</f>
        <v>3.68</v>
      </c>
      <c r="E377" s="219">
        <f t="shared" ref="E377:L377" si="155">E383</f>
        <v>0</v>
      </c>
      <c r="F377" s="219">
        <f t="shared" si="155"/>
        <v>8.7370000000000001</v>
      </c>
      <c r="G377" s="219">
        <f t="shared" si="155"/>
        <v>5.08</v>
      </c>
      <c r="H377" s="219">
        <f t="shared" si="155"/>
        <v>0.49</v>
      </c>
      <c r="I377" s="219">
        <f t="shared" ref="I377:J377" si="156">I383</f>
        <v>5.7670000000000003</v>
      </c>
      <c r="J377" s="219">
        <f t="shared" si="156"/>
        <v>4.0369999999999999</v>
      </c>
      <c r="K377" s="219">
        <f t="shared" si="155"/>
        <v>4.8609999999999998</v>
      </c>
      <c r="L377" s="219">
        <f t="shared" si="155"/>
        <v>4.8609999999999998</v>
      </c>
      <c r="M377" s="173">
        <f t="shared" si="149"/>
        <v>-4.7</v>
      </c>
      <c r="N377" s="174">
        <f t="shared" si="150"/>
        <v>-0.53794208538399912</v>
      </c>
      <c r="O377" s="287" t="s">
        <v>385</v>
      </c>
    </row>
    <row r="378" spans="1:15" ht="18.75">
      <c r="A378" s="165" t="s">
        <v>1014</v>
      </c>
      <c r="B378" s="210" t="s">
        <v>1015</v>
      </c>
      <c r="C378" s="167" t="s">
        <v>476</v>
      </c>
      <c r="D378" s="222" t="s">
        <v>284</v>
      </c>
      <c r="E378" s="223" t="s">
        <v>284</v>
      </c>
      <c r="F378" s="223" t="s">
        <v>284</v>
      </c>
      <c r="G378" s="223"/>
      <c r="H378" s="223"/>
      <c r="I378" s="223"/>
      <c r="J378" s="223"/>
      <c r="K378" s="223" t="s">
        <v>284</v>
      </c>
      <c r="L378" s="223" t="s">
        <v>284</v>
      </c>
      <c r="M378" s="223"/>
      <c r="N378" s="223"/>
      <c r="O378" s="304"/>
    </row>
    <row r="379" spans="1:15" ht="32.25">
      <c r="A379" s="165" t="s">
        <v>1016</v>
      </c>
      <c r="B379" s="189" t="s">
        <v>480</v>
      </c>
      <c r="C379" s="167" t="s">
        <v>476</v>
      </c>
      <c r="D379" s="222" t="s">
        <v>284</v>
      </c>
      <c r="E379" s="223" t="s">
        <v>284</v>
      </c>
      <c r="F379" s="223" t="s">
        <v>284</v>
      </c>
      <c r="G379" s="223"/>
      <c r="H379" s="223"/>
      <c r="I379" s="223"/>
      <c r="J379" s="223"/>
      <c r="K379" s="223" t="s">
        <v>284</v>
      </c>
      <c r="L379" s="223" t="s">
        <v>284</v>
      </c>
      <c r="M379" s="223"/>
      <c r="N379" s="223"/>
      <c r="O379" s="304"/>
    </row>
    <row r="380" spans="1:15" ht="32.25">
      <c r="A380" s="165" t="s">
        <v>1017</v>
      </c>
      <c r="B380" s="189" t="s">
        <v>482</v>
      </c>
      <c r="C380" s="167" t="s">
        <v>476</v>
      </c>
      <c r="D380" s="222" t="s">
        <v>284</v>
      </c>
      <c r="E380" s="223" t="s">
        <v>284</v>
      </c>
      <c r="F380" s="223" t="s">
        <v>284</v>
      </c>
      <c r="G380" s="223"/>
      <c r="H380" s="223"/>
      <c r="I380" s="223"/>
      <c r="J380" s="223"/>
      <c r="K380" s="223" t="s">
        <v>284</v>
      </c>
      <c r="L380" s="223" t="s">
        <v>284</v>
      </c>
      <c r="M380" s="223"/>
      <c r="N380" s="223"/>
      <c r="O380" s="304"/>
    </row>
    <row r="381" spans="1:15" ht="32.25">
      <c r="A381" s="165" t="s">
        <v>1018</v>
      </c>
      <c r="B381" s="189" t="s">
        <v>484</v>
      </c>
      <c r="C381" s="167" t="s">
        <v>476</v>
      </c>
      <c r="D381" s="222" t="s">
        <v>284</v>
      </c>
      <c r="E381" s="223" t="s">
        <v>284</v>
      </c>
      <c r="F381" s="223" t="s">
        <v>284</v>
      </c>
      <c r="G381" s="223"/>
      <c r="H381" s="223"/>
      <c r="I381" s="223"/>
      <c r="J381" s="223"/>
      <c r="K381" s="223" t="s">
        <v>284</v>
      </c>
      <c r="L381" s="223" t="s">
        <v>284</v>
      </c>
      <c r="M381" s="223"/>
      <c r="N381" s="223"/>
      <c r="O381" s="304"/>
    </row>
    <row r="382" spans="1:15" ht="18.75">
      <c r="A382" s="165" t="s">
        <v>1019</v>
      </c>
      <c r="B382" s="210" t="s">
        <v>1020</v>
      </c>
      <c r="C382" s="167" t="s">
        <v>476</v>
      </c>
      <c r="D382" s="222" t="s">
        <v>284</v>
      </c>
      <c r="E382" s="223" t="s">
        <v>284</v>
      </c>
      <c r="F382" s="223" t="s">
        <v>284</v>
      </c>
      <c r="G382" s="223"/>
      <c r="H382" s="223"/>
      <c r="I382" s="223"/>
      <c r="J382" s="223"/>
      <c r="K382" s="223" t="s">
        <v>284</v>
      </c>
      <c r="L382" s="223" t="s">
        <v>284</v>
      </c>
      <c r="M382" s="223"/>
      <c r="N382" s="223"/>
      <c r="O382" s="304"/>
    </row>
    <row r="383" spans="1:15">
      <c r="A383" s="165" t="s">
        <v>1021</v>
      </c>
      <c r="B383" s="210" t="s">
        <v>1022</v>
      </c>
      <c r="C383" s="167" t="s">
        <v>476</v>
      </c>
      <c r="D383" s="219">
        <v>3.68</v>
      </c>
      <c r="E383" s="224">
        <v>0</v>
      </c>
      <c r="F383" s="320">
        <v>8.7370000000000001</v>
      </c>
      <c r="G383" s="320">
        <f>4.13+0.95</f>
        <v>5.08</v>
      </c>
      <c r="H383" s="320">
        <v>0.49</v>
      </c>
      <c r="I383" s="320">
        <v>5.7670000000000003</v>
      </c>
      <c r="J383" s="320">
        <v>4.0369999999999999</v>
      </c>
      <c r="K383" s="225">
        <v>4.8609999999999998</v>
      </c>
      <c r="L383" s="225">
        <v>4.8609999999999998</v>
      </c>
      <c r="M383" s="173">
        <f t="shared" ref="M383" si="157">J383-F383</f>
        <v>-4.7</v>
      </c>
      <c r="N383" s="174">
        <f t="shared" ref="N383" si="158">M383/F383</f>
        <v>-0.53794208538399912</v>
      </c>
      <c r="O383" s="287" t="s">
        <v>385</v>
      </c>
    </row>
    <row r="384" spans="1:15" ht="18.75">
      <c r="A384" s="165" t="s">
        <v>1023</v>
      </c>
      <c r="B384" s="210" t="s">
        <v>1024</v>
      </c>
      <c r="C384" s="167" t="s">
        <v>476</v>
      </c>
      <c r="D384" s="222" t="s">
        <v>284</v>
      </c>
      <c r="E384" s="223" t="s">
        <v>284</v>
      </c>
      <c r="F384" s="223" t="s">
        <v>284</v>
      </c>
      <c r="G384" s="223"/>
      <c r="H384" s="223"/>
      <c r="I384" s="223"/>
      <c r="J384" s="223"/>
      <c r="K384" s="223" t="s">
        <v>284</v>
      </c>
      <c r="L384" s="223" t="s">
        <v>284</v>
      </c>
      <c r="M384" s="223"/>
      <c r="N384" s="223"/>
      <c r="O384" s="304"/>
    </row>
    <row r="385" spans="1:15" ht="18.75">
      <c r="A385" s="165" t="s">
        <v>1025</v>
      </c>
      <c r="B385" s="210" t="s">
        <v>1026</v>
      </c>
      <c r="C385" s="167" t="s">
        <v>476</v>
      </c>
      <c r="D385" s="222" t="s">
        <v>284</v>
      </c>
      <c r="E385" s="223" t="s">
        <v>284</v>
      </c>
      <c r="F385" s="223" t="s">
        <v>284</v>
      </c>
      <c r="G385" s="223"/>
      <c r="H385" s="223"/>
      <c r="I385" s="223"/>
      <c r="J385" s="223"/>
      <c r="K385" s="223" t="s">
        <v>284</v>
      </c>
      <c r="L385" s="223" t="s">
        <v>284</v>
      </c>
      <c r="M385" s="223"/>
      <c r="N385" s="223"/>
      <c r="O385" s="304"/>
    </row>
    <row r="386" spans="1:15" ht="32.25">
      <c r="A386" s="165" t="s">
        <v>1027</v>
      </c>
      <c r="B386" s="189" t="s">
        <v>1028</v>
      </c>
      <c r="C386" s="167" t="s">
        <v>476</v>
      </c>
      <c r="D386" s="222" t="s">
        <v>284</v>
      </c>
      <c r="E386" s="223" t="s">
        <v>284</v>
      </c>
      <c r="F386" s="223" t="s">
        <v>284</v>
      </c>
      <c r="G386" s="223"/>
      <c r="H386" s="223"/>
      <c r="I386" s="223"/>
      <c r="J386" s="223"/>
      <c r="K386" s="223" t="s">
        <v>284</v>
      </c>
      <c r="L386" s="223" t="s">
        <v>284</v>
      </c>
      <c r="M386" s="223"/>
      <c r="N386" s="223"/>
      <c r="O386" s="304"/>
    </row>
    <row r="387" spans="1:15" ht="18.75">
      <c r="A387" s="165" t="s">
        <v>1029</v>
      </c>
      <c r="B387" s="189" t="s">
        <v>1030</v>
      </c>
      <c r="C387" s="167" t="s">
        <v>476</v>
      </c>
      <c r="D387" s="222" t="s">
        <v>284</v>
      </c>
      <c r="E387" s="223" t="s">
        <v>284</v>
      </c>
      <c r="F387" s="223" t="s">
        <v>284</v>
      </c>
      <c r="G387" s="223"/>
      <c r="H387" s="223"/>
      <c r="I387" s="223"/>
      <c r="J387" s="223"/>
      <c r="K387" s="223" t="s">
        <v>284</v>
      </c>
      <c r="L387" s="223" t="s">
        <v>284</v>
      </c>
      <c r="M387" s="223"/>
      <c r="N387" s="223"/>
      <c r="O387" s="304"/>
    </row>
    <row r="388" spans="1:15" ht="18.75">
      <c r="A388" s="165" t="s">
        <v>1031</v>
      </c>
      <c r="B388" s="189" t="s">
        <v>1032</v>
      </c>
      <c r="C388" s="167" t="s">
        <v>476</v>
      </c>
      <c r="D388" s="222" t="s">
        <v>284</v>
      </c>
      <c r="E388" s="223" t="s">
        <v>284</v>
      </c>
      <c r="F388" s="223" t="s">
        <v>284</v>
      </c>
      <c r="G388" s="223"/>
      <c r="H388" s="223"/>
      <c r="I388" s="223"/>
      <c r="J388" s="223"/>
      <c r="K388" s="223" t="s">
        <v>284</v>
      </c>
      <c r="L388" s="223" t="s">
        <v>284</v>
      </c>
      <c r="M388" s="223"/>
      <c r="N388" s="223"/>
      <c r="O388" s="304"/>
    </row>
    <row r="389" spans="1:15" ht="18.75">
      <c r="A389" s="165" t="s">
        <v>1033</v>
      </c>
      <c r="B389" s="189" t="s">
        <v>1030</v>
      </c>
      <c r="C389" s="167" t="s">
        <v>476</v>
      </c>
      <c r="D389" s="222" t="s">
        <v>284</v>
      </c>
      <c r="E389" s="223" t="s">
        <v>284</v>
      </c>
      <c r="F389" s="223" t="s">
        <v>284</v>
      </c>
      <c r="G389" s="223"/>
      <c r="H389" s="223"/>
      <c r="I389" s="223"/>
      <c r="J389" s="223"/>
      <c r="K389" s="223" t="s">
        <v>284</v>
      </c>
      <c r="L389" s="223" t="s">
        <v>284</v>
      </c>
      <c r="M389" s="223"/>
      <c r="N389" s="223"/>
      <c r="O389" s="304"/>
    </row>
    <row r="390" spans="1:15" ht="18.75">
      <c r="A390" s="165" t="s">
        <v>1034</v>
      </c>
      <c r="B390" s="210" t="s">
        <v>1035</v>
      </c>
      <c r="C390" s="167" t="s">
        <v>476</v>
      </c>
      <c r="D390" s="222" t="s">
        <v>284</v>
      </c>
      <c r="E390" s="223" t="s">
        <v>284</v>
      </c>
      <c r="F390" s="223" t="s">
        <v>284</v>
      </c>
      <c r="G390" s="223"/>
      <c r="H390" s="223"/>
      <c r="I390" s="223"/>
      <c r="J390" s="223"/>
      <c r="K390" s="223" t="s">
        <v>284</v>
      </c>
      <c r="L390" s="223" t="s">
        <v>284</v>
      </c>
      <c r="M390" s="223"/>
      <c r="N390" s="223"/>
      <c r="O390" s="304"/>
    </row>
    <row r="391" spans="1:15" ht="18.75">
      <c r="A391" s="165" t="s">
        <v>1036</v>
      </c>
      <c r="B391" s="210" t="s">
        <v>845</v>
      </c>
      <c r="C391" s="167" t="s">
        <v>476</v>
      </c>
      <c r="D391" s="222" t="s">
        <v>284</v>
      </c>
      <c r="E391" s="223" t="s">
        <v>284</v>
      </c>
      <c r="F391" s="223" t="s">
        <v>284</v>
      </c>
      <c r="G391" s="223"/>
      <c r="H391" s="223"/>
      <c r="I391" s="223"/>
      <c r="J391" s="223"/>
      <c r="K391" s="223" t="s">
        <v>284</v>
      </c>
      <c r="L391" s="223" t="s">
        <v>284</v>
      </c>
      <c r="M391" s="223"/>
      <c r="N391" s="223"/>
      <c r="O391" s="304"/>
    </row>
    <row r="392" spans="1:15" ht="32.25">
      <c r="A392" s="165" t="s">
        <v>1037</v>
      </c>
      <c r="B392" s="210" t="s">
        <v>1038</v>
      </c>
      <c r="C392" s="167" t="s">
        <v>476</v>
      </c>
      <c r="D392" s="222" t="s">
        <v>284</v>
      </c>
      <c r="E392" s="223" t="s">
        <v>284</v>
      </c>
      <c r="F392" s="223" t="s">
        <v>284</v>
      </c>
      <c r="G392" s="223"/>
      <c r="H392" s="223"/>
      <c r="I392" s="223"/>
      <c r="J392" s="223"/>
      <c r="K392" s="223" t="s">
        <v>284</v>
      </c>
      <c r="L392" s="223" t="s">
        <v>284</v>
      </c>
      <c r="M392" s="223"/>
      <c r="N392" s="223"/>
      <c r="O392" s="304"/>
    </row>
    <row r="393" spans="1:15" ht="18.75">
      <c r="A393" s="165" t="s">
        <v>1039</v>
      </c>
      <c r="B393" s="189" t="s">
        <v>497</v>
      </c>
      <c r="C393" s="167" t="s">
        <v>476</v>
      </c>
      <c r="D393" s="222" t="s">
        <v>284</v>
      </c>
      <c r="E393" s="223" t="s">
        <v>284</v>
      </c>
      <c r="F393" s="223" t="s">
        <v>284</v>
      </c>
      <c r="G393" s="223"/>
      <c r="H393" s="223"/>
      <c r="I393" s="223"/>
      <c r="J393" s="223"/>
      <c r="K393" s="223" t="s">
        <v>284</v>
      </c>
      <c r="L393" s="223" t="s">
        <v>284</v>
      </c>
      <c r="M393" s="223"/>
      <c r="N393" s="223"/>
      <c r="O393" s="304"/>
    </row>
    <row r="394" spans="1:15" ht="18.75">
      <c r="A394" s="165" t="s">
        <v>1040</v>
      </c>
      <c r="B394" s="166" t="s">
        <v>499</v>
      </c>
      <c r="C394" s="167" t="s">
        <v>476</v>
      </c>
      <c r="D394" s="222" t="s">
        <v>284</v>
      </c>
      <c r="E394" s="223" t="s">
        <v>284</v>
      </c>
      <c r="F394" s="223" t="s">
        <v>284</v>
      </c>
      <c r="G394" s="223"/>
      <c r="H394" s="223"/>
      <c r="I394" s="223"/>
      <c r="J394" s="223"/>
      <c r="K394" s="223" t="s">
        <v>284</v>
      </c>
      <c r="L394" s="223" t="s">
        <v>284</v>
      </c>
      <c r="M394" s="223"/>
      <c r="N394" s="223"/>
      <c r="O394" s="304"/>
    </row>
    <row r="395" spans="1:15" ht="31.5">
      <c r="A395" s="165" t="s">
        <v>481</v>
      </c>
      <c r="B395" s="210" t="s">
        <v>1041</v>
      </c>
      <c r="C395" s="167" t="s">
        <v>476</v>
      </c>
      <c r="D395" s="222">
        <v>0</v>
      </c>
      <c r="E395" s="222">
        <v>0</v>
      </c>
      <c r="F395" s="222">
        <v>0</v>
      </c>
      <c r="G395" s="222"/>
      <c r="H395" s="222">
        <v>0</v>
      </c>
      <c r="I395" s="222">
        <v>0</v>
      </c>
      <c r="J395" s="222">
        <v>0</v>
      </c>
      <c r="K395" s="222">
        <v>0</v>
      </c>
      <c r="L395" s="222">
        <v>0</v>
      </c>
      <c r="M395" s="222"/>
      <c r="N395" s="222"/>
      <c r="O395" s="305"/>
    </row>
    <row r="396" spans="1:15" ht="31.5">
      <c r="A396" s="165" t="s">
        <v>1042</v>
      </c>
      <c r="B396" s="210" t="s">
        <v>480</v>
      </c>
      <c r="C396" s="167" t="s">
        <v>476</v>
      </c>
      <c r="D396" s="222" t="s">
        <v>284</v>
      </c>
      <c r="E396" s="222" t="s">
        <v>284</v>
      </c>
      <c r="F396" s="222" t="s">
        <v>284</v>
      </c>
      <c r="G396" s="222"/>
      <c r="H396" s="222" t="s">
        <v>284</v>
      </c>
      <c r="I396" s="222" t="s">
        <v>284</v>
      </c>
      <c r="J396" s="222" t="s">
        <v>284</v>
      </c>
      <c r="K396" s="222" t="s">
        <v>284</v>
      </c>
      <c r="L396" s="222" t="s">
        <v>284</v>
      </c>
      <c r="M396" s="222"/>
      <c r="N396" s="222"/>
      <c r="O396" s="305"/>
    </row>
    <row r="397" spans="1:15" ht="31.5">
      <c r="A397" s="165" t="s">
        <v>1043</v>
      </c>
      <c r="B397" s="210" t="s">
        <v>482</v>
      </c>
      <c r="C397" s="167" t="s">
        <v>476</v>
      </c>
      <c r="D397" s="222" t="s">
        <v>284</v>
      </c>
      <c r="E397" s="222" t="s">
        <v>284</v>
      </c>
      <c r="F397" s="222" t="s">
        <v>284</v>
      </c>
      <c r="G397" s="222"/>
      <c r="H397" s="222" t="s">
        <v>284</v>
      </c>
      <c r="I397" s="222" t="s">
        <v>284</v>
      </c>
      <c r="J397" s="222" t="s">
        <v>284</v>
      </c>
      <c r="K397" s="222" t="s">
        <v>284</v>
      </c>
      <c r="L397" s="222" t="s">
        <v>284</v>
      </c>
      <c r="M397" s="222"/>
      <c r="N397" s="222"/>
      <c r="O397" s="305"/>
    </row>
    <row r="398" spans="1:15" ht="31.5">
      <c r="A398" s="165" t="s">
        <v>1044</v>
      </c>
      <c r="B398" s="210" t="s">
        <v>484</v>
      </c>
      <c r="C398" s="167" t="s">
        <v>476</v>
      </c>
      <c r="D398" s="222" t="s">
        <v>284</v>
      </c>
      <c r="E398" s="222" t="s">
        <v>284</v>
      </c>
      <c r="F398" s="222" t="s">
        <v>284</v>
      </c>
      <c r="G398" s="222"/>
      <c r="H398" s="222" t="s">
        <v>284</v>
      </c>
      <c r="I398" s="222" t="s">
        <v>284</v>
      </c>
      <c r="J398" s="222" t="s">
        <v>284</v>
      </c>
      <c r="K398" s="222" t="s">
        <v>284</v>
      </c>
      <c r="L398" s="222" t="s">
        <v>284</v>
      </c>
      <c r="M398" s="222"/>
      <c r="N398" s="222"/>
      <c r="O398" s="305"/>
    </row>
    <row r="399" spans="1:15">
      <c r="A399" s="165" t="s">
        <v>483</v>
      </c>
      <c r="B399" s="210" t="s">
        <v>1045</v>
      </c>
      <c r="C399" s="167" t="s">
        <v>476</v>
      </c>
      <c r="D399" s="222">
        <v>0</v>
      </c>
      <c r="E399" s="222">
        <v>0</v>
      </c>
      <c r="F399" s="222">
        <v>0</v>
      </c>
      <c r="G399" s="222"/>
      <c r="H399" s="222">
        <v>0</v>
      </c>
      <c r="I399" s="222">
        <v>0</v>
      </c>
      <c r="J399" s="222">
        <v>0</v>
      </c>
      <c r="K399" s="222">
        <v>0</v>
      </c>
      <c r="L399" s="222">
        <v>0</v>
      </c>
      <c r="M399" s="222"/>
      <c r="N399" s="222"/>
      <c r="O399" s="305"/>
    </row>
    <row r="400" spans="1:15">
      <c r="A400" s="165" t="s">
        <v>400</v>
      </c>
      <c r="B400" s="189" t="s">
        <v>1046</v>
      </c>
      <c r="C400" s="167" t="s">
        <v>476</v>
      </c>
      <c r="D400" s="220">
        <f>D401</f>
        <v>4.0389999999999997</v>
      </c>
      <c r="E400" s="220">
        <f t="shared" ref="E400:L400" si="159">E401</f>
        <v>0.69199999999999995</v>
      </c>
      <c r="F400" s="220">
        <f t="shared" si="159"/>
        <v>2.7719999999999998</v>
      </c>
      <c r="G400" s="220">
        <f t="shared" si="159"/>
        <v>2.0139999999999998</v>
      </c>
      <c r="H400" s="220">
        <f t="shared" si="159"/>
        <v>1.706</v>
      </c>
      <c r="I400" s="220">
        <f t="shared" si="159"/>
        <v>3.0209999999999999</v>
      </c>
      <c r="J400" s="221">
        <f t="shared" si="159"/>
        <v>1.7470000000000001</v>
      </c>
      <c r="K400" s="220">
        <f t="shared" si="159"/>
        <v>4.8689999999999998</v>
      </c>
      <c r="L400" s="220">
        <f t="shared" si="159"/>
        <v>4.8689999999999998</v>
      </c>
      <c r="M400" s="173">
        <f t="shared" ref="M400:M401" si="160">J400-F400</f>
        <v>-1.0249999999999997</v>
      </c>
      <c r="N400" s="174">
        <f t="shared" ref="N400:N401" si="161">M400/F400</f>
        <v>-0.36976911976911969</v>
      </c>
      <c r="O400" s="287" t="s">
        <v>385</v>
      </c>
    </row>
    <row r="401" spans="1:15">
      <c r="A401" s="165" t="s">
        <v>402</v>
      </c>
      <c r="B401" s="210" t="s">
        <v>1047</v>
      </c>
      <c r="C401" s="167" t="s">
        <v>476</v>
      </c>
      <c r="D401" s="222">
        <f>D407</f>
        <v>4.0389999999999997</v>
      </c>
      <c r="E401" s="222">
        <f t="shared" ref="E401:L401" si="162">E407</f>
        <v>0.69199999999999995</v>
      </c>
      <c r="F401" s="222">
        <f t="shared" si="162"/>
        <v>2.7719999999999998</v>
      </c>
      <c r="G401" s="222">
        <f t="shared" si="162"/>
        <v>2.0139999999999998</v>
      </c>
      <c r="H401" s="222">
        <f t="shared" si="162"/>
        <v>1.706</v>
      </c>
      <c r="I401" s="222">
        <f t="shared" ref="I401:J401" si="163">I407</f>
        <v>3.0209999999999999</v>
      </c>
      <c r="J401" s="219">
        <f t="shared" si="163"/>
        <v>1.7470000000000001</v>
      </c>
      <c r="K401" s="222">
        <f t="shared" si="162"/>
        <v>4.8689999999999998</v>
      </c>
      <c r="L401" s="222">
        <f t="shared" si="162"/>
        <v>4.8689999999999998</v>
      </c>
      <c r="M401" s="173">
        <f t="shared" si="160"/>
        <v>-1.0249999999999997</v>
      </c>
      <c r="N401" s="174">
        <f t="shared" si="161"/>
        <v>-0.36976911976911969</v>
      </c>
      <c r="O401" s="287" t="s">
        <v>385</v>
      </c>
    </row>
    <row r="402" spans="1:15" ht="18.75">
      <c r="A402" s="165" t="s">
        <v>404</v>
      </c>
      <c r="B402" s="210" t="s">
        <v>1048</v>
      </c>
      <c r="C402" s="167" t="s">
        <v>476</v>
      </c>
      <c r="D402" s="222" t="s">
        <v>284</v>
      </c>
      <c r="E402" s="223" t="s">
        <v>284</v>
      </c>
      <c r="F402" s="223" t="s">
        <v>284</v>
      </c>
      <c r="G402" s="223"/>
      <c r="H402" s="223"/>
      <c r="I402" s="223"/>
      <c r="J402" s="276"/>
      <c r="K402" s="223" t="s">
        <v>284</v>
      </c>
      <c r="L402" s="223" t="s">
        <v>284</v>
      </c>
      <c r="M402" s="223"/>
      <c r="N402" s="223"/>
      <c r="O402" s="304"/>
    </row>
    <row r="403" spans="1:15" ht="32.25">
      <c r="A403" s="165" t="s">
        <v>1049</v>
      </c>
      <c r="B403" s="210" t="s">
        <v>480</v>
      </c>
      <c r="C403" s="167" t="s">
        <v>476</v>
      </c>
      <c r="D403" s="222" t="s">
        <v>284</v>
      </c>
      <c r="E403" s="223" t="s">
        <v>284</v>
      </c>
      <c r="F403" s="223" t="s">
        <v>284</v>
      </c>
      <c r="G403" s="223"/>
      <c r="H403" s="223"/>
      <c r="I403" s="223"/>
      <c r="J403" s="276"/>
      <c r="K403" s="223" t="s">
        <v>284</v>
      </c>
      <c r="L403" s="223" t="s">
        <v>284</v>
      </c>
      <c r="M403" s="223"/>
      <c r="N403" s="223"/>
      <c r="O403" s="304"/>
    </row>
    <row r="404" spans="1:15" ht="32.25">
      <c r="A404" s="165" t="s">
        <v>1050</v>
      </c>
      <c r="B404" s="210" t="s">
        <v>482</v>
      </c>
      <c r="C404" s="167" t="s">
        <v>476</v>
      </c>
      <c r="D404" s="222" t="s">
        <v>284</v>
      </c>
      <c r="E404" s="223" t="s">
        <v>284</v>
      </c>
      <c r="F404" s="223" t="s">
        <v>284</v>
      </c>
      <c r="G404" s="223"/>
      <c r="H404" s="223"/>
      <c r="I404" s="223"/>
      <c r="J404" s="276"/>
      <c r="K404" s="223" t="s">
        <v>284</v>
      </c>
      <c r="L404" s="223" t="s">
        <v>284</v>
      </c>
      <c r="M404" s="223"/>
      <c r="N404" s="223"/>
      <c r="O404" s="304"/>
    </row>
    <row r="405" spans="1:15" ht="32.25">
      <c r="A405" s="165" t="s">
        <v>1051</v>
      </c>
      <c r="B405" s="210" t="s">
        <v>484</v>
      </c>
      <c r="C405" s="167" t="s">
        <v>476</v>
      </c>
      <c r="D405" s="222" t="s">
        <v>284</v>
      </c>
      <c r="E405" s="223" t="s">
        <v>284</v>
      </c>
      <c r="F405" s="223" t="s">
        <v>284</v>
      </c>
      <c r="G405" s="223"/>
      <c r="H405" s="223"/>
      <c r="I405" s="223"/>
      <c r="J405" s="276"/>
      <c r="K405" s="223" t="s">
        <v>284</v>
      </c>
      <c r="L405" s="223" t="s">
        <v>284</v>
      </c>
      <c r="M405" s="223"/>
      <c r="N405" s="223"/>
      <c r="O405" s="304"/>
    </row>
    <row r="406" spans="1:15" ht="18.75">
      <c r="A406" s="165" t="s">
        <v>1052</v>
      </c>
      <c r="B406" s="210" t="s">
        <v>830</v>
      </c>
      <c r="C406" s="167" t="s">
        <v>476</v>
      </c>
      <c r="D406" s="222" t="s">
        <v>284</v>
      </c>
      <c r="E406" s="223" t="s">
        <v>284</v>
      </c>
      <c r="F406" s="223" t="s">
        <v>284</v>
      </c>
      <c r="G406" s="223"/>
      <c r="H406" s="223"/>
      <c r="I406" s="223"/>
      <c r="J406" s="276"/>
      <c r="K406" s="223" t="s">
        <v>284</v>
      </c>
      <c r="L406" s="223" t="s">
        <v>284</v>
      </c>
      <c r="M406" s="223"/>
      <c r="N406" s="223"/>
      <c r="O406" s="304"/>
    </row>
    <row r="407" spans="1:15">
      <c r="A407" s="165" t="s">
        <v>1053</v>
      </c>
      <c r="B407" s="210" t="s">
        <v>833</v>
      </c>
      <c r="C407" s="167" t="s">
        <v>476</v>
      </c>
      <c r="D407" s="222">
        <v>4.0389999999999997</v>
      </c>
      <c r="E407" s="225">
        <v>0.69199999999999995</v>
      </c>
      <c r="F407" s="220">
        <v>2.7719999999999998</v>
      </c>
      <c r="G407" s="220">
        <f>1.007+1.007</f>
        <v>2.0139999999999998</v>
      </c>
      <c r="H407" s="220">
        <f>0.452+1.254</f>
        <v>1.706</v>
      </c>
      <c r="I407" s="220">
        <v>3.0209999999999999</v>
      </c>
      <c r="J407" s="221">
        <v>1.7470000000000001</v>
      </c>
      <c r="K407" s="225">
        <v>4.8689999999999998</v>
      </c>
      <c r="L407" s="225">
        <v>4.8689999999999998</v>
      </c>
      <c r="M407" s="173">
        <f t="shared" ref="M407" si="164">J407-F407</f>
        <v>-1.0249999999999997</v>
      </c>
      <c r="N407" s="174">
        <f t="shared" ref="N407" si="165">M407/F407</f>
        <v>-0.36976911976911969</v>
      </c>
      <c r="O407" s="287" t="s">
        <v>385</v>
      </c>
    </row>
    <row r="408" spans="1:15" ht="18.75">
      <c r="A408" s="165" t="s">
        <v>1054</v>
      </c>
      <c r="B408" s="210" t="s">
        <v>836</v>
      </c>
      <c r="C408" s="167" t="s">
        <v>476</v>
      </c>
      <c r="D408" s="222" t="s">
        <v>284</v>
      </c>
      <c r="E408" s="223" t="s">
        <v>284</v>
      </c>
      <c r="F408" s="220" t="s">
        <v>284</v>
      </c>
      <c r="G408" s="220"/>
      <c r="H408" s="220"/>
      <c r="I408" s="220"/>
      <c r="J408" s="220"/>
      <c r="K408" s="223" t="s">
        <v>284</v>
      </c>
      <c r="L408" s="223" t="s">
        <v>284</v>
      </c>
      <c r="M408" s="223"/>
      <c r="N408" s="223"/>
      <c r="O408" s="304"/>
    </row>
    <row r="409" spans="1:15" ht="18.75">
      <c r="A409" s="165" t="s">
        <v>1055</v>
      </c>
      <c r="B409" s="210" t="s">
        <v>842</v>
      </c>
      <c r="C409" s="167" t="s">
        <v>476</v>
      </c>
      <c r="D409" s="222" t="s">
        <v>284</v>
      </c>
      <c r="E409" s="223" t="s">
        <v>284</v>
      </c>
      <c r="F409" s="220" t="s">
        <v>284</v>
      </c>
      <c r="G409" s="220"/>
      <c r="H409" s="220"/>
      <c r="I409" s="220"/>
      <c r="J409" s="220"/>
      <c r="K409" s="223" t="s">
        <v>284</v>
      </c>
      <c r="L409" s="223" t="s">
        <v>284</v>
      </c>
      <c r="M409" s="223"/>
      <c r="N409" s="223"/>
      <c r="O409" s="304"/>
    </row>
    <row r="410" spans="1:15" ht="18.75">
      <c r="A410" s="165" t="s">
        <v>1056</v>
      </c>
      <c r="B410" s="210" t="s">
        <v>845</v>
      </c>
      <c r="C410" s="167" t="s">
        <v>476</v>
      </c>
      <c r="D410" s="222" t="s">
        <v>284</v>
      </c>
      <c r="E410" s="223" t="s">
        <v>284</v>
      </c>
      <c r="F410" s="220" t="s">
        <v>284</v>
      </c>
      <c r="G410" s="220"/>
      <c r="H410" s="220"/>
      <c r="I410" s="220"/>
      <c r="J410" s="220"/>
      <c r="K410" s="223" t="s">
        <v>284</v>
      </c>
      <c r="L410" s="223" t="s">
        <v>284</v>
      </c>
      <c r="M410" s="223"/>
      <c r="N410" s="223"/>
      <c r="O410" s="304"/>
    </row>
    <row r="411" spans="1:15" ht="32.25">
      <c r="A411" s="165" t="s">
        <v>1057</v>
      </c>
      <c r="B411" s="210" t="s">
        <v>848</v>
      </c>
      <c r="C411" s="167" t="s">
        <v>476</v>
      </c>
      <c r="D411" s="222" t="s">
        <v>284</v>
      </c>
      <c r="E411" s="223" t="s">
        <v>284</v>
      </c>
      <c r="F411" s="220" t="s">
        <v>284</v>
      </c>
      <c r="G411" s="220"/>
      <c r="H411" s="220"/>
      <c r="I411" s="220"/>
      <c r="J411" s="220"/>
      <c r="K411" s="223" t="s">
        <v>284</v>
      </c>
      <c r="L411" s="223" t="s">
        <v>284</v>
      </c>
      <c r="M411" s="223"/>
      <c r="N411" s="223"/>
      <c r="O411" s="304"/>
    </row>
    <row r="412" spans="1:15" ht="18.75">
      <c r="A412" s="165" t="s">
        <v>1058</v>
      </c>
      <c r="B412" s="189" t="s">
        <v>497</v>
      </c>
      <c r="C412" s="167" t="s">
        <v>476</v>
      </c>
      <c r="D412" s="222" t="s">
        <v>284</v>
      </c>
      <c r="E412" s="223" t="s">
        <v>284</v>
      </c>
      <c r="F412" s="220" t="s">
        <v>284</v>
      </c>
      <c r="G412" s="220"/>
      <c r="H412" s="220"/>
      <c r="I412" s="220"/>
      <c r="J412" s="220"/>
      <c r="K412" s="223" t="s">
        <v>284</v>
      </c>
      <c r="L412" s="223" t="s">
        <v>284</v>
      </c>
      <c r="M412" s="223"/>
      <c r="N412" s="223"/>
      <c r="O412" s="304"/>
    </row>
    <row r="413" spans="1:15" ht="18.75">
      <c r="A413" s="165" t="s">
        <v>1059</v>
      </c>
      <c r="B413" s="166" t="s">
        <v>499</v>
      </c>
      <c r="C413" s="167" t="s">
        <v>476</v>
      </c>
      <c r="D413" s="222" t="s">
        <v>284</v>
      </c>
      <c r="E413" s="223" t="s">
        <v>284</v>
      </c>
      <c r="F413" s="220" t="s">
        <v>284</v>
      </c>
      <c r="G413" s="220"/>
      <c r="H413" s="220"/>
      <c r="I413" s="220"/>
      <c r="J413" s="220"/>
      <c r="K413" s="223" t="s">
        <v>284</v>
      </c>
      <c r="L413" s="223" t="s">
        <v>284</v>
      </c>
      <c r="M413" s="223"/>
      <c r="N413" s="223"/>
      <c r="O413" s="304"/>
    </row>
    <row r="414" spans="1:15" ht="18.75">
      <c r="A414" s="165" t="s">
        <v>406</v>
      </c>
      <c r="B414" s="210" t="s">
        <v>1060</v>
      </c>
      <c r="C414" s="167" t="s">
        <v>476</v>
      </c>
      <c r="D414" s="222" t="s">
        <v>284</v>
      </c>
      <c r="E414" s="223" t="s">
        <v>284</v>
      </c>
      <c r="F414" s="220" t="s">
        <v>284</v>
      </c>
      <c r="G414" s="220"/>
      <c r="H414" s="220"/>
      <c r="I414" s="220"/>
      <c r="J414" s="220"/>
      <c r="K414" s="223" t="s">
        <v>284</v>
      </c>
      <c r="L414" s="223" t="s">
        <v>284</v>
      </c>
      <c r="M414" s="223"/>
      <c r="N414" s="223"/>
      <c r="O414" s="304"/>
    </row>
    <row r="415" spans="1:15" ht="18.75">
      <c r="A415" s="165" t="s">
        <v>423</v>
      </c>
      <c r="B415" s="210" t="s">
        <v>1061</v>
      </c>
      <c r="C415" s="167" t="s">
        <v>476</v>
      </c>
      <c r="D415" s="222" t="s">
        <v>284</v>
      </c>
      <c r="E415" s="223" t="s">
        <v>284</v>
      </c>
      <c r="F415" s="220" t="s">
        <v>284</v>
      </c>
      <c r="G415" s="220"/>
      <c r="H415" s="220"/>
      <c r="I415" s="220"/>
      <c r="J415" s="220"/>
      <c r="K415" s="226">
        <v>0</v>
      </c>
      <c r="L415" s="226">
        <v>0</v>
      </c>
      <c r="M415" s="226"/>
      <c r="N415" s="226"/>
      <c r="O415" s="306"/>
    </row>
    <row r="416" spans="1:15" ht="18.75">
      <c r="A416" s="165" t="s">
        <v>425</v>
      </c>
      <c r="B416" s="210" t="s">
        <v>1048</v>
      </c>
      <c r="C416" s="167" t="s">
        <v>476</v>
      </c>
      <c r="D416" s="222" t="s">
        <v>284</v>
      </c>
      <c r="E416" s="223" t="s">
        <v>284</v>
      </c>
      <c r="F416" s="220" t="s">
        <v>284</v>
      </c>
      <c r="G416" s="220"/>
      <c r="H416" s="220"/>
      <c r="I416" s="220"/>
      <c r="J416" s="220"/>
      <c r="K416" s="223" t="s">
        <v>284</v>
      </c>
      <c r="L416" s="223" t="s">
        <v>284</v>
      </c>
      <c r="M416" s="223"/>
      <c r="N416" s="223"/>
      <c r="O416" s="304"/>
    </row>
    <row r="417" spans="1:17" ht="15.75" customHeight="1">
      <c r="A417" s="165" t="s">
        <v>427</v>
      </c>
      <c r="B417" s="210" t="s">
        <v>480</v>
      </c>
      <c r="C417" s="167" t="s">
        <v>476</v>
      </c>
      <c r="D417" s="222" t="s">
        <v>284</v>
      </c>
      <c r="E417" s="223" t="s">
        <v>284</v>
      </c>
      <c r="F417" s="220" t="s">
        <v>284</v>
      </c>
      <c r="G417" s="220"/>
      <c r="H417" s="220"/>
      <c r="I417" s="220"/>
      <c r="J417" s="220"/>
      <c r="K417" s="223" t="s">
        <v>284</v>
      </c>
      <c r="L417" s="223" t="s">
        <v>284</v>
      </c>
      <c r="M417" s="223"/>
      <c r="N417" s="223"/>
      <c r="O417" s="304"/>
    </row>
    <row r="418" spans="1:17" ht="15.75" customHeight="1">
      <c r="A418" s="165" t="s">
        <v>1062</v>
      </c>
      <c r="B418" s="210" t="s">
        <v>482</v>
      </c>
      <c r="C418" s="167" t="s">
        <v>476</v>
      </c>
      <c r="D418" s="222" t="s">
        <v>284</v>
      </c>
      <c r="E418" s="223" t="s">
        <v>284</v>
      </c>
      <c r="F418" s="220" t="s">
        <v>284</v>
      </c>
      <c r="G418" s="220"/>
      <c r="H418" s="220"/>
      <c r="I418" s="220"/>
      <c r="J418" s="220"/>
      <c r="K418" s="223" t="s">
        <v>284</v>
      </c>
      <c r="L418" s="223" t="s">
        <v>284</v>
      </c>
      <c r="M418" s="223"/>
      <c r="N418" s="223"/>
      <c r="O418" s="304"/>
    </row>
    <row r="419" spans="1:17" ht="15.75" customHeight="1">
      <c r="A419" s="165" t="s">
        <v>1063</v>
      </c>
      <c r="B419" s="210" t="s">
        <v>484</v>
      </c>
      <c r="C419" s="167" t="s">
        <v>476</v>
      </c>
      <c r="D419" s="222" t="s">
        <v>284</v>
      </c>
      <c r="E419" s="223" t="s">
        <v>284</v>
      </c>
      <c r="F419" s="220" t="s">
        <v>284</v>
      </c>
      <c r="G419" s="220"/>
      <c r="H419" s="220"/>
      <c r="I419" s="220"/>
      <c r="J419" s="220"/>
      <c r="K419" s="223" t="s">
        <v>284</v>
      </c>
      <c r="L419" s="223" t="s">
        <v>284</v>
      </c>
      <c r="M419" s="223"/>
      <c r="N419" s="223"/>
      <c r="O419" s="304"/>
    </row>
    <row r="420" spans="1:17" ht="15.75" customHeight="1">
      <c r="A420" s="165" t="s">
        <v>1064</v>
      </c>
      <c r="B420" s="210" t="s">
        <v>830</v>
      </c>
      <c r="C420" s="167" t="s">
        <v>476</v>
      </c>
      <c r="D420" s="222" t="s">
        <v>284</v>
      </c>
      <c r="E420" s="223" t="s">
        <v>284</v>
      </c>
      <c r="F420" s="220" t="s">
        <v>284</v>
      </c>
      <c r="G420" s="220"/>
      <c r="H420" s="220"/>
      <c r="I420" s="220"/>
      <c r="J420" s="220"/>
      <c r="K420" s="223" t="s">
        <v>284</v>
      </c>
      <c r="L420" s="223" t="s">
        <v>284</v>
      </c>
      <c r="M420" s="223"/>
      <c r="N420" s="223"/>
      <c r="O420" s="304"/>
    </row>
    <row r="421" spans="1:17" ht="15.75" customHeight="1">
      <c r="A421" s="165" t="s">
        <v>1065</v>
      </c>
      <c r="B421" s="210" t="s">
        <v>833</v>
      </c>
      <c r="C421" s="167" t="s">
        <v>476</v>
      </c>
      <c r="D421" s="220"/>
      <c r="E421" s="224"/>
      <c r="F421" s="220"/>
      <c r="G421" s="220"/>
      <c r="H421" s="220"/>
      <c r="I421" s="220"/>
      <c r="J421" s="220"/>
      <c r="K421" s="226"/>
      <c r="L421" s="226"/>
      <c r="M421" s="226"/>
      <c r="N421" s="226"/>
      <c r="O421" s="307"/>
    </row>
    <row r="422" spans="1:17" ht="15.75" customHeight="1">
      <c r="A422" s="165" t="s">
        <v>1066</v>
      </c>
      <c r="B422" s="210" t="s">
        <v>836</v>
      </c>
      <c r="C422" s="167" t="s">
        <v>476</v>
      </c>
      <c r="D422" s="222" t="s">
        <v>284</v>
      </c>
      <c r="E422" s="223" t="s">
        <v>284</v>
      </c>
      <c r="F422" s="220" t="s">
        <v>284</v>
      </c>
      <c r="G422" s="220"/>
      <c r="H422" s="220"/>
      <c r="I422" s="220"/>
      <c r="J422" s="220"/>
      <c r="K422" s="223" t="s">
        <v>284</v>
      </c>
      <c r="L422" s="223" t="s">
        <v>284</v>
      </c>
      <c r="M422" s="223"/>
      <c r="N422" s="223"/>
      <c r="O422" s="304"/>
    </row>
    <row r="423" spans="1:17" ht="15.75" customHeight="1">
      <c r="A423" s="165" t="s">
        <v>1067</v>
      </c>
      <c r="B423" s="210" t="s">
        <v>842</v>
      </c>
      <c r="C423" s="167" t="s">
        <v>476</v>
      </c>
      <c r="D423" s="222" t="s">
        <v>284</v>
      </c>
      <c r="E423" s="223" t="s">
        <v>284</v>
      </c>
      <c r="F423" s="220" t="s">
        <v>284</v>
      </c>
      <c r="G423" s="220"/>
      <c r="H423" s="220"/>
      <c r="I423" s="220"/>
      <c r="J423" s="220"/>
      <c r="K423" s="223" t="s">
        <v>284</v>
      </c>
      <c r="L423" s="223" t="s">
        <v>284</v>
      </c>
      <c r="M423" s="223"/>
      <c r="N423" s="223"/>
      <c r="O423" s="304"/>
    </row>
    <row r="424" spans="1:17" ht="15.75" customHeight="1">
      <c r="A424" s="165" t="s">
        <v>1068</v>
      </c>
      <c r="B424" s="210" t="s">
        <v>845</v>
      </c>
      <c r="C424" s="167" t="s">
        <v>476</v>
      </c>
      <c r="D424" s="222" t="s">
        <v>284</v>
      </c>
      <c r="E424" s="223" t="s">
        <v>284</v>
      </c>
      <c r="F424" s="220" t="s">
        <v>284</v>
      </c>
      <c r="G424" s="220"/>
      <c r="H424" s="220"/>
      <c r="I424" s="220"/>
      <c r="J424" s="220"/>
      <c r="K424" s="223" t="s">
        <v>284</v>
      </c>
      <c r="L424" s="223" t="s">
        <v>284</v>
      </c>
      <c r="M424" s="223"/>
      <c r="N424" s="223"/>
      <c r="O424" s="304"/>
    </row>
    <row r="425" spans="1:17" ht="15.75" customHeight="1">
      <c r="A425" s="165" t="s">
        <v>1069</v>
      </c>
      <c r="B425" s="210" t="s">
        <v>848</v>
      </c>
      <c r="C425" s="167" t="s">
        <v>476</v>
      </c>
      <c r="D425" s="222" t="s">
        <v>284</v>
      </c>
      <c r="E425" s="223" t="s">
        <v>284</v>
      </c>
      <c r="F425" s="220" t="s">
        <v>284</v>
      </c>
      <c r="G425" s="220"/>
      <c r="H425" s="220"/>
      <c r="I425" s="220"/>
      <c r="J425" s="220"/>
      <c r="K425" s="223" t="s">
        <v>284</v>
      </c>
      <c r="L425" s="223" t="s">
        <v>284</v>
      </c>
      <c r="M425" s="223"/>
      <c r="N425" s="223"/>
      <c r="O425" s="304"/>
    </row>
    <row r="426" spans="1:17" ht="15.75" customHeight="1">
      <c r="A426" s="165" t="s">
        <v>1070</v>
      </c>
      <c r="B426" s="166" t="s">
        <v>497</v>
      </c>
      <c r="C426" s="167" t="s">
        <v>476</v>
      </c>
      <c r="D426" s="222" t="s">
        <v>284</v>
      </c>
      <c r="E426" s="223" t="s">
        <v>284</v>
      </c>
      <c r="F426" s="220" t="s">
        <v>284</v>
      </c>
      <c r="G426" s="220"/>
      <c r="H426" s="220"/>
      <c r="I426" s="220"/>
      <c r="J426" s="220"/>
      <c r="K426" s="223" t="s">
        <v>284</v>
      </c>
      <c r="L426" s="223" t="s">
        <v>284</v>
      </c>
      <c r="M426" s="223"/>
      <c r="N426" s="223"/>
      <c r="O426" s="304"/>
    </row>
    <row r="427" spans="1:17" ht="15.75" customHeight="1">
      <c r="A427" s="165" t="s">
        <v>1071</v>
      </c>
      <c r="B427" s="166" t="s">
        <v>499</v>
      </c>
      <c r="C427" s="167" t="s">
        <v>476</v>
      </c>
      <c r="D427" s="222" t="s">
        <v>284</v>
      </c>
      <c r="E427" s="223" t="s">
        <v>284</v>
      </c>
      <c r="F427" s="220" t="s">
        <v>284</v>
      </c>
      <c r="G427" s="220"/>
      <c r="H427" s="220"/>
      <c r="I427" s="220"/>
      <c r="J427" s="220"/>
      <c r="K427" s="223" t="s">
        <v>284</v>
      </c>
      <c r="L427" s="223" t="s">
        <v>284</v>
      </c>
      <c r="M427" s="223"/>
      <c r="N427" s="223"/>
      <c r="O427" s="304"/>
    </row>
    <row r="428" spans="1:17" ht="36" customHeight="1">
      <c r="A428" s="165" t="s">
        <v>486</v>
      </c>
      <c r="B428" s="189" t="s">
        <v>1072</v>
      </c>
      <c r="C428" s="167" t="s">
        <v>476</v>
      </c>
      <c r="D428" s="221">
        <v>1.2050000000000001</v>
      </c>
      <c r="E428" s="227">
        <v>0.111</v>
      </c>
      <c r="F428" s="220">
        <v>1.831</v>
      </c>
      <c r="G428" s="220">
        <f>0.15+1.135</f>
        <v>1.2849999999999999</v>
      </c>
      <c r="H428" s="220">
        <f>0.324+0.379</f>
        <v>0.70300000000000007</v>
      </c>
      <c r="I428" s="220">
        <v>1.6140000000000001</v>
      </c>
      <c r="J428" s="220">
        <v>1.115</v>
      </c>
      <c r="K428" s="225">
        <v>1.831</v>
      </c>
      <c r="L428" s="225">
        <f>K428</f>
        <v>1.831</v>
      </c>
      <c r="M428" s="173">
        <f t="shared" ref="M428:M431" si="166">J428-F428</f>
        <v>-0.71599999999999997</v>
      </c>
      <c r="N428" s="174">
        <f t="shared" ref="N428:N431" si="167">M428/F428</f>
        <v>-0.39104314582195521</v>
      </c>
      <c r="O428" s="287" t="s">
        <v>385</v>
      </c>
    </row>
    <row r="429" spans="1:17" ht="15.75" customHeight="1">
      <c r="A429" s="165" t="s">
        <v>429</v>
      </c>
      <c r="B429" s="189" t="s">
        <v>1073</v>
      </c>
      <c r="C429" s="167" t="s">
        <v>476</v>
      </c>
      <c r="D429" s="227">
        <f>D431</f>
        <v>2.1015000000000001</v>
      </c>
      <c r="E429" s="210">
        <f t="shared" ref="E429:L429" si="168">E431</f>
        <v>0.57599999999999996</v>
      </c>
      <c r="F429" s="220">
        <f t="shared" si="168"/>
        <v>0</v>
      </c>
      <c r="G429" s="220">
        <f t="shared" si="168"/>
        <v>0</v>
      </c>
      <c r="H429" s="220">
        <f t="shared" si="168"/>
        <v>0</v>
      </c>
      <c r="I429" s="220">
        <f t="shared" ref="I429:J429" si="169">I431</f>
        <v>0</v>
      </c>
      <c r="J429" s="220">
        <f t="shared" si="169"/>
        <v>0</v>
      </c>
      <c r="K429" s="210">
        <f t="shared" si="168"/>
        <v>1.7789999999999999</v>
      </c>
      <c r="L429" s="210">
        <f t="shared" si="168"/>
        <v>1.7789999999999999</v>
      </c>
      <c r="M429" s="173">
        <f t="shared" si="166"/>
        <v>0</v>
      </c>
      <c r="N429" s="174" t="e">
        <f t="shared" si="167"/>
        <v>#DIV/0!</v>
      </c>
      <c r="O429" s="287" t="s">
        <v>385</v>
      </c>
    </row>
    <row r="430" spans="1:17" ht="15.75" customHeight="1">
      <c r="A430" s="165" t="s">
        <v>431</v>
      </c>
      <c r="B430" s="210" t="s">
        <v>1074</v>
      </c>
      <c r="C430" s="167" t="s">
        <v>476</v>
      </c>
      <c r="D430" s="210">
        <v>0</v>
      </c>
      <c r="E430" s="210">
        <v>0</v>
      </c>
      <c r="F430" s="220">
        <v>0</v>
      </c>
      <c r="G430" s="220"/>
      <c r="H430" s="220"/>
      <c r="I430" s="220"/>
      <c r="J430" s="220"/>
      <c r="K430" s="210"/>
      <c r="L430" s="210"/>
      <c r="M430" s="173"/>
      <c r="N430" s="174"/>
      <c r="O430" s="287"/>
      <c r="P430" s="228"/>
      <c r="Q430" s="229"/>
    </row>
    <row r="431" spans="1:17" ht="15.75" hidden="1" customHeight="1">
      <c r="A431" s="165" t="s">
        <v>444</v>
      </c>
      <c r="B431" s="210" t="s">
        <v>1075</v>
      </c>
      <c r="C431" s="167" t="s">
        <v>476</v>
      </c>
      <c r="D431" s="227">
        <v>2.1015000000000001</v>
      </c>
      <c r="E431" s="210">
        <v>0.57599999999999996</v>
      </c>
      <c r="F431" s="220"/>
      <c r="G431" s="220"/>
      <c r="H431" s="220"/>
      <c r="I431" s="220"/>
      <c r="J431" s="220"/>
      <c r="K431" s="210">
        <v>1.7789999999999999</v>
      </c>
      <c r="L431" s="210">
        <v>1.7789999999999999</v>
      </c>
      <c r="M431" s="173">
        <f t="shared" si="166"/>
        <v>0</v>
      </c>
      <c r="N431" s="174" t="e">
        <f t="shared" si="167"/>
        <v>#DIV/0!</v>
      </c>
      <c r="O431" s="287" t="s">
        <v>385</v>
      </c>
      <c r="P431" s="230"/>
    </row>
    <row r="432" spans="1:17" ht="15.75" customHeight="1">
      <c r="A432" s="165" t="s">
        <v>502</v>
      </c>
      <c r="B432" s="220" t="s">
        <v>1076</v>
      </c>
      <c r="C432" s="167" t="s">
        <v>476</v>
      </c>
      <c r="D432" s="220">
        <v>0</v>
      </c>
      <c r="E432" s="224">
        <v>0</v>
      </c>
      <c r="F432" s="220">
        <v>0</v>
      </c>
      <c r="G432" s="220"/>
      <c r="H432" s="220"/>
      <c r="I432" s="220"/>
      <c r="J432" s="220"/>
      <c r="K432" s="226">
        <v>0</v>
      </c>
      <c r="L432" s="226">
        <v>0</v>
      </c>
      <c r="M432" s="226"/>
      <c r="N432" s="226"/>
      <c r="O432" s="307"/>
    </row>
    <row r="433" spans="1:15">
      <c r="A433" s="165" t="s">
        <v>504</v>
      </c>
      <c r="B433" s="189" t="s">
        <v>1077</v>
      </c>
      <c r="C433" s="167" t="s">
        <v>476</v>
      </c>
      <c r="D433" s="210" t="s">
        <v>284</v>
      </c>
      <c r="E433" s="210" t="s">
        <v>284</v>
      </c>
      <c r="F433" s="210" t="s">
        <v>284</v>
      </c>
      <c r="G433" s="210"/>
      <c r="H433" s="210"/>
      <c r="I433" s="210"/>
      <c r="J433" s="210"/>
      <c r="K433" s="210" t="s">
        <v>284</v>
      </c>
      <c r="L433" s="210" t="s">
        <v>284</v>
      </c>
      <c r="M433" s="210"/>
      <c r="N433" s="210"/>
      <c r="O433" s="211"/>
    </row>
    <row r="434" spans="1:15">
      <c r="A434" s="165" t="s">
        <v>508</v>
      </c>
      <c r="B434" s="189" t="s">
        <v>1078</v>
      </c>
      <c r="C434" s="167" t="s">
        <v>476</v>
      </c>
      <c r="D434" s="210" t="s">
        <v>284</v>
      </c>
      <c r="E434" s="210" t="s">
        <v>284</v>
      </c>
      <c r="F434" s="210" t="s">
        <v>284</v>
      </c>
      <c r="G434" s="210"/>
      <c r="H434" s="210"/>
      <c r="I434" s="210"/>
      <c r="J434" s="210"/>
      <c r="K434" s="210" t="s">
        <v>284</v>
      </c>
      <c r="L434" s="210" t="s">
        <v>284</v>
      </c>
      <c r="M434" s="210"/>
      <c r="N434" s="210"/>
      <c r="O434" s="211"/>
    </row>
    <row r="435" spans="1:15">
      <c r="A435" s="165" t="s">
        <v>509</v>
      </c>
      <c r="B435" s="189" t="s">
        <v>1079</v>
      </c>
      <c r="C435" s="167" t="s">
        <v>476</v>
      </c>
      <c r="D435" s="210" t="s">
        <v>284</v>
      </c>
      <c r="E435" s="210" t="s">
        <v>284</v>
      </c>
      <c r="F435" s="210" t="s">
        <v>284</v>
      </c>
      <c r="G435" s="210"/>
      <c r="H435" s="210"/>
      <c r="I435" s="210"/>
      <c r="J435" s="210"/>
      <c r="K435" s="210" t="s">
        <v>284</v>
      </c>
      <c r="L435" s="210" t="s">
        <v>284</v>
      </c>
      <c r="M435" s="210"/>
      <c r="N435" s="210"/>
      <c r="O435" s="211"/>
    </row>
    <row r="436" spans="1:15">
      <c r="A436" s="165" t="s">
        <v>510</v>
      </c>
      <c r="B436" s="189" t="s">
        <v>1080</v>
      </c>
      <c r="C436" s="167" t="s">
        <v>476</v>
      </c>
      <c r="D436" s="210" t="s">
        <v>284</v>
      </c>
      <c r="E436" s="210" t="s">
        <v>284</v>
      </c>
      <c r="F436" s="210" t="s">
        <v>284</v>
      </c>
      <c r="G436" s="210"/>
      <c r="H436" s="210"/>
      <c r="I436" s="210"/>
      <c r="J436" s="210"/>
      <c r="K436" s="210" t="s">
        <v>284</v>
      </c>
      <c r="L436" s="210" t="s">
        <v>284</v>
      </c>
      <c r="M436" s="210"/>
      <c r="N436" s="210"/>
      <c r="O436" s="211"/>
    </row>
    <row r="437" spans="1:15">
      <c r="A437" s="165" t="s">
        <v>511</v>
      </c>
      <c r="B437" s="189" t="s">
        <v>1081</v>
      </c>
      <c r="C437" s="167" t="s">
        <v>476</v>
      </c>
      <c r="D437" s="210" t="s">
        <v>284</v>
      </c>
      <c r="E437" s="210" t="s">
        <v>284</v>
      </c>
      <c r="F437" s="210" t="s">
        <v>284</v>
      </c>
      <c r="G437" s="210"/>
      <c r="H437" s="210"/>
      <c r="I437" s="210"/>
      <c r="J437" s="210"/>
      <c r="K437" s="210" t="s">
        <v>284</v>
      </c>
      <c r="L437" s="210" t="s">
        <v>284</v>
      </c>
      <c r="M437" s="210" t="s">
        <v>284</v>
      </c>
      <c r="N437" s="210" t="s">
        <v>284</v>
      </c>
      <c r="O437" s="211"/>
    </row>
    <row r="438" spans="1:15">
      <c r="A438" s="165" t="s">
        <v>551</v>
      </c>
      <c r="B438" s="210" t="s">
        <v>729</v>
      </c>
      <c r="C438" s="167" t="s">
        <v>476</v>
      </c>
      <c r="D438" s="210" t="s">
        <v>284</v>
      </c>
      <c r="E438" s="210" t="s">
        <v>284</v>
      </c>
      <c r="F438" s="210" t="s">
        <v>284</v>
      </c>
      <c r="G438" s="210"/>
      <c r="H438" s="210"/>
      <c r="I438" s="210"/>
      <c r="J438" s="210"/>
      <c r="K438" s="210" t="s">
        <v>284</v>
      </c>
      <c r="L438" s="210" t="s">
        <v>284</v>
      </c>
      <c r="M438" s="210" t="s">
        <v>284</v>
      </c>
      <c r="N438" s="210" t="s">
        <v>284</v>
      </c>
      <c r="O438" s="211"/>
    </row>
    <row r="439" spans="1:15" ht="31.5">
      <c r="A439" s="165" t="s">
        <v>1082</v>
      </c>
      <c r="B439" s="210" t="s">
        <v>1083</v>
      </c>
      <c r="C439" s="167" t="s">
        <v>476</v>
      </c>
      <c r="D439" s="210" t="s">
        <v>284</v>
      </c>
      <c r="E439" s="210" t="s">
        <v>284</v>
      </c>
      <c r="F439" s="210" t="s">
        <v>284</v>
      </c>
      <c r="G439" s="210"/>
      <c r="H439" s="210"/>
      <c r="I439" s="210"/>
      <c r="J439" s="210"/>
      <c r="K439" s="210" t="s">
        <v>284</v>
      </c>
      <c r="L439" s="210" t="s">
        <v>284</v>
      </c>
      <c r="M439" s="210" t="s">
        <v>284</v>
      </c>
      <c r="N439" s="210" t="s">
        <v>284</v>
      </c>
      <c r="O439" s="211"/>
    </row>
    <row r="440" spans="1:15">
      <c r="A440" s="165" t="s">
        <v>553</v>
      </c>
      <c r="B440" s="210" t="s">
        <v>731</v>
      </c>
      <c r="C440" s="167" t="s">
        <v>476</v>
      </c>
      <c r="D440" s="210" t="s">
        <v>284</v>
      </c>
      <c r="E440" s="210" t="s">
        <v>284</v>
      </c>
      <c r="F440" s="210" t="s">
        <v>284</v>
      </c>
      <c r="G440" s="210"/>
      <c r="H440" s="210"/>
      <c r="I440" s="210"/>
      <c r="J440" s="210"/>
      <c r="K440" s="210" t="s">
        <v>284</v>
      </c>
      <c r="L440" s="210" t="s">
        <v>284</v>
      </c>
      <c r="M440" s="210" t="s">
        <v>284</v>
      </c>
      <c r="N440" s="210" t="s">
        <v>284</v>
      </c>
      <c r="O440" s="211"/>
    </row>
    <row r="441" spans="1:15" ht="31.5">
      <c r="A441" s="165" t="s">
        <v>1084</v>
      </c>
      <c r="B441" s="210" t="s">
        <v>1085</v>
      </c>
      <c r="C441" s="167" t="s">
        <v>476</v>
      </c>
      <c r="D441" s="210" t="s">
        <v>284</v>
      </c>
      <c r="E441" s="210" t="s">
        <v>284</v>
      </c>
      <c r="F441" s="210" t="s">
        <v>284</v>
      </c>
      <c r="G441" s="210"/>
      <c r="H441" s="210"/>
      <c r="I441" s="210"/>
      <c r="J441" s="210"/>
      <c r="K441" s="210" t="s">
        <v>284</v>
      </c>
      <c r="L441" s="210" t="s">
        <v>284</v>
      </c>
      <c r="M441" s="210" t="s">
        <v>284</v>
      </c>
      <c r="N441" s="210" t="s">
        <v>284</v>
      </c>
      <c r="O441" s="211"/>
    </row>
    <row r="442" spans="1:15">
      <c r="A442" s="165" t="s">
        <v>512</v>
      </c>
      <c r="B442" s="189" t="s">
        <v>1086</v>
      </c>
      <c r="C442" s="167" t="s">
        <v>476</v>
      </c>
      <c r="D442" s="210" t="s">
        <v>284</v>
      </c>
      <c r="E442" s="210" t="s">
        <v>284</v>
      </c>
      <c r="F442" s="210" t="s">
        <v>284</v>
      </c>
      <c r="G442" s="210"/>
      <c r="H442" s="210"/>
      <c r="I442" s="210"/>
      <c r="J442" s="210"/>
      <c r="K442" s="210" t="s">
        <v>284</v>
      </c>
      <c r="L442" s="210" t="s">
        <v>284</v>
      </c>
      <c r="M442" s="210" t="s">
        <v>284</v>
      </c>
      <c r="N442" s="210" t="s">
        <v>284</v>
      </c>
      <c r="O442" s="211"/>
    </row>
    <row r="443" spans="1:15" ht="16.5" thickBot="1">
      <c r="A443" s="177" t="s">
        <v>513</v>
      </c>
      <c r="B443" s="201" t="s">
        <v>1087</v>
      </c>
      <c r="C443" s="179" t="s">
        <v>476</v>
      </c>
      <c r="D443" s="238" t="s">
        <v>284</v>
      </c>
      <c r="E443" s="238" t="s">
        <v>284</v>
      </c>
      <c r="F443" s="238" t="s">
        <v>284</v>
      </c>
      <c r="G443" s="238"/>
      <c r="H443" s="238"/>
      <c r="I443" s="238"/>
      <c r="J443" s="238"/>
      <c r="K443" s="238" t="s">
        <v>284</v>
      </c>
      <c r="L443" s="238" t="s">
        <v>284</v>
      </c>
      <c r="M443" s="238" t="s">
        <v>284</v>
      </c>
      <c r="N443" s="238" t="s">
        <v>284</v>
      </c>
      <c r="O443" s="308"/>
    </row>
    <row r="444" spans="1:15">
      <c r="A444" s="163" t="s">
        <v>571</v>
      </c>
      <c r="B444" s="164" t="s">
        <v>564</v>
      </c>
      <c r="C444" s="231" t="s">
        <v>284</v>
      </c>
      <c r="D444" s="232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309"/>
    </row>
    <row r="445" spans="1:15" ht="47.25">
      <c r="A445" s="234" t="s">
        <v>1088</v>
      </c>
      <c r="B445" s="189" t="s">
        <v>1089</v>
      </c>
      <c r="C445" s="192" t="s">
        <v>476</v>
      </c>
      <c r="D445" s="235" t="s">
        <v>284</v>
      </c>
      <c r="E445" s="210" t="s">
        <v>284</v>
      </c>
      <c r="F445" s="210" t="s">
        <v>284</v>
      </c>
      <c r="G445" s="210"/>
      <c r="H445" s="210"/>
      <c r="I445" s="210"/>
      <c r="J445" s="210"/>
      <c r="K445" s="210" t="s">
        <v>284</v>
      </c>
      <c r="L445" s="210" t="s">
        <v>284</v>
      </c>
      <c r="M445" s="210" t="s">
        <v>284</v>
      </c>
      <c r="N445" s="210" t="s">
        <v>284</v>
      </c>
      <c r="O445" s="211"/>
    </row>
    <row r="446" spans="1:15">
      <c r="A446" s="234" t="s">
        <v>574</v>
      </c>
      <c r="B446" s="210" t="s">
        <v>1090</v>
      </c>
      <c r="C446" s="192" t="s">
        <v>476</v>
      </c>
      <c r="D446" s="235" t="s">
        <v>284</v>
      </c>
      <c r="E446" s="210" t="s">
        <v>284</v>
      </c>
      <c r="F446" s="210" t="s">
        <v>284</v>
      </c>
      <c r="G446" s="210"/>
      <c r="H446" s="210"/>
      <c r="I446" s="210"/>
      <c r="J446" s="210"/>
      <c r="K446" s="210" t="s">
        <v>284</v>
      </c>
      <c r="L446" s="210" t="s">
        <v>284</v>
      </c>
      <c r="M446" s="210" t="s">
        <v>284</v>
      </c>
      <c r="N446" s="210" t="s">
        <v>284</v>
      </c>
      <c r="O446" s="211"/>
    </row>
    <row r="447" spans="1:15" ht="31.5">
      <c r="A447" s="234" t="s">
        <v>575</v>
      </c>
      <c r="B447" s="210" t="s">
        <v>1091</v>
      </c>
      <c r="C447" s="192" t="s">
        <v>476</v>
      </c>
      <c r="D447" s="235" t="s">
        <v>284</v>
      </c>
      <c r="E447" s="210" t="s">
        <v>284</v>
      </c>
      <c r="F447" s="210" t="s">
        <v>284</v>
      </c>
      <c r="G447" s="210"/>
      <c r="H447" s="210"/>
      <c r="I447" s="210"/>
      <c r="J447" s="210"/>
      <c r="K447" s="210" t="s">
        <v>284</v>
      </c>
      <c r="L447" s="210" t="s">
        <v>284</v>
      </c>
      <c r="M447" s="210" t="s">
        <v>284</v>
      </c>
      <c r="N447" s="210" t="s">
        <v>284</v>
      </c>
      <c r="O447" s="211"/>
    </row>
    <row r="448" spans="1:15">
      <c r="A448" s="234" t="s">
        <v>576</v>
      </c>
      <c r="B448" s="210" t="s">
        <v>1092</v>
      </c>
      <c r="C448" s="192" t="s">
        <v>476</v>
      </c>
      <c r="D448" s="235" t="s">
        <v>284</v>
      </c>
      <c r="E448" s="210" t="s">
        <v>284</v>
      </c>
      <c r="F448" s="210" t="s">
        <v>284</v>
      </c>
      <c r="G448" s="210"/>
      <c r="H448" s="210"/>
      <c r="I448" s="210"/>
      <c r="J448" s="210"/>
      <c r="K448" s="210" t="s">
        <v>284</v>
      </c>
      <c r="L448" s="210" t="s">
        <v>284</v>
      </c>
      <c r="M448" s="210" t="s">
        <v>284</v>
      </c>
      <c r="N448" s="210" t="s">
        <v>284</v>
      </c>
      <c r="O448" s="211"/>
    </row>
    <row r="449" spans="1:15" ht="31.5">
      <c r="A449" s="234" t="s">
        <v>577</v>
      </c>
      <c r="B449" s="189" t="s">
        <v>1093</v>
      </c>
      <c r="C449" s="236" t="s">
        <v>284</v>
      </c>
      <c r="D449" s="235" t="s">
        <v>284</v>
      </c>
      <c r="E449" s="210" t="s">
        <v>284</v>
      </c>
      <c r="F449" s="210" t="s">
        <v>284</v>
      </c>
      <c r="G449" s="210"/>
      <c r="H449" s="210"/>
      <c r="I449" s="210"/>
      <c r="J449" s="210"/>
      <c r="K449" s="210" t="s">
        <v>284</v>
      </c>
      <c r="L449" s="210" t="s">
        <v>284</v>
      </c>
      <c r="M449" s="210" t="s">
        <v>284</v>
      </c>
      <c r="N449" s="210" t="s">
        <v>284</v>
      </c>
      <c r="O449" s="211"/>
    </row>
    <row r="450" spans="1:15">
      <c r="A450" s="234" t="s">
        <v>1094</v>
      </c>
      <c r="B450" s="210" t="s">
        <v>1095</v>
      </c>
      <c r="C450" s="192" t="s">
        <v>476</v>
      </c>
      <c r="D450" s="235" t="s">
        <v>284</v>
      </c>
      <c r="E450" s="210" t="s">
        <v>284</v>
      </c>
      <c r="F450" s="210" t="s">
        <v>284</v>
      </c>
      <c r="G450" s="210"/>
      <c r="H450" s="210"/>
      <c r="I450" s="210"/>
      <c r="J450" s="210"/>
      <c r="K450" s="210" t="s">
        <v>284</v>
      </c>
      <c r="L450" s="210" t="s">
        <v>284</v>
      </c>
      <c r="M450" s="210" t="s">
        <v>284</v>
      </c>
      <c r="N450" s="210" t="s">
        <v>284</v>
      </c>
      <c r="O450" s="211"/>
    </row>
    <row r="451" spans="1:15">
      <c r="A451" s="234" t="s">
        <v>1096</v>
      </c>
      <c r="B451" s="210" t="s">
        <v>1097</v>
      </c>
      <c r="C451" s="192" t="s">
        <v>476</v>
      </c>
      <c r="D451" s="235" t="s">
        <v>284</v>
      </c>
      <c r="E451" s="210" t="s">
        <v>284</v>
      </c>
      <c r="F451" s="210" t="s">
        <v>284</v>
      </c>
      <c r="G451" s="210"/>
      <c r="H451" s="210"/>
      <c r="I451" s="210"/>
      <c r="J451" s="210"/>
      <c r="K451" s="210" t="s">
        <v>284</v>
      </c>
      <c r="L451" s="210" t="s">
        <v>284</v>
      </c>
      <c r="M451" s="210" t="s">
        <v>284</v>
      </c>
      <c r="N451" s="210" t="s">
        <v>284</v>
      </c>
      <c r="O451" s="211"/>
    </row>
    <row r="452" spans="1:15" ht="16.5" thickBot="1">
      <c r="A452" s="237" t="s">
        <v>1098</v>
      </c>
      <c r="B452" s="238" t="s">
        <v>1099</v>
      </c>
      <c r="C452" s="179" t="s">
        <v>476</v>
      </c>
      <c r="D452" s="239" t="s">
        <v>284</v>
      </c>
      <c r="E452" s="238" t="s">
        <v>284</v>
      </c>
      <c r="F452" s="238" t="s">
        <v>284</v>
      </c>
      <c r="G452" s="238"/>
      <c r="H452" s="238"/>
      <c r="I452" s="238"/>
      <c r="J452" s="238"/>
      <c r="K452" s="238" t="s">
        <v>284</v>
      </c>
      <c r="L452" s="238" t="s">
        <v>284</v>
      </c>
      <c r="M452" s="238" t="s">
        <v>284</v>
      </c>
      <c r="N452" s="238" t="s">
        <v>284</v>
      </c>
      <c r="O452" s="308"/>
    </row>
    <row r="455" spans="1:15">
      <c r="A455" s="240" t="s">
        <v>1100</v>
      </c>
    </row>
    <row r="456" spans="1:15">
      <c r="A456" s="439" t="s">
        <v>1101</v>
      </c>
      <c r="B456" s="439"/>
      <c r="C456" s="439"/>
      <c r="D456" s="439"/>
      <c r="E456" s="439"/>
      <c r="F456" s="439"/>
      <c r="G456" s="439"/>
      <c r="H456" s="439"/>
      <c r="I456" s="439"/>
      <c r="J456" s="439"/>
      <c r="K456" s="439"/>
      <c r="L456" s="439"/>
      <c r="M456" s="439"/>
      <c r="N456" s="439"/>
      <c r="O456" s="439"/>
    </row>
    <row r="457" spans="1:15">
      <c r="A457" s="439" t="s">
        <v>1102</v>
      </c>
      <c r="B457" s="439"/>
      <c r="C457" s="439"/>
      <c r="D457" s="439"/>
      <c r="E457" s="439"/>
      <c r="F457" s="439"/>
      <c r="G457" s="439"/>
      <c r="H457" s="439"/>
      <c r="I457" s="439"/>
      <c r="J457" s="439"/>
      <c r="K457" s="439"/>
      <c r="L457" s="439"/>
      <c r="M457" s="439"/>
      <c r="N457" s="439"/>
      <c r="O457" s="439"/>
    </row>
    <row r="458" spans="1:15">
      <c r="A458" s="439" t="s">
        <v>1103</v>
      </c>
      <c r="B458" s="439"/>
      <c r="C458" s="439"/>
      <c r="D458" s="439"/>
      <c r="E458" s="439"/>
      <c r="F458" s="439"/>
      <c r="G458" s="439"/>
      <c r="H458" s="439"/>
      <c r="I458" s="439"/>
      <c r="J458" s="439"/>
      <c r="K458" s="439"/>
      <c r="L458" s="439"/>
      <c r="M458" s="439"/>
      <c r="N458" s="439"/>
      <c r="O458" s="439"/>
    </row>
    <row r="459" spans="1:15">
      <c r="A459" s="241" t="s">
        <v>1104</v>
      </c>
    </row>
    <row r="460" spans="1:15">
      <c r="A460" s="418" t="s">
        <v>1105</v>
      </c>
      <c r="B460" s="418"/>
      <c r="C460" s="418"/>
      <c r="D460" s="418"/>
      <c r="E460" s="418"/>
      <c r="F460" s="418"/>
      <c r="G460" s="418"/>
      <c r="H460" s="418"/>
      <c r="I460" s="418"/>
      <c r="J460" s="418"/>
      <c r="K460" s="418"/>
      <c r="L460" s="418"/>
      <c r="M460" s="418"/>
      <c r="N460" s="418"/>
      <c r="O460" s="418"/>
    </row>
  </sheetData>
  <mergeCells count="30">
    <mergeCell ref="A16:B16"/>
    <mergeCell ref="A6:O7"/>
    <mergeCell ref="A8:O8"/>
    <mergeCell ref="A10:M10"/>
    <mergeCell ref="A13:B13"/>
    <mergeCell ref="A15:O15"/>
    <mergeCell ref="A167:O167"/>
    <mergeCell ref="A19:O19"/>
    <mergeCell ref="A20:A21"/>
    <mergeCell ref="B20:B21"/>
    <mergeCell ref="C20:C21"/>
    <mergeCell ref="K20:L20"/>
    <mergeCell ref="M20:N20"/>
    <mergeCell ref="O20:O21"/>
    <mergeCell ref="F20:J20"/>
    <mergeCell ref="A23:O23"/>
    <mergeCell ref="A460:O460"/>
    <mergeCell ref="A319:O319"/>
    <mergeCell ref="A369:O370"/>
    <mergeCell ref="A371:A372"/>
    <mergeCell ref="B371:B372"/>
    <mergeCell ref="C371:C372"/>
    <mergeCell ref="K371:L371"/>
    <mergeCell ref="M371:N371"/>
    <mergeCell ref="O371:O372"/>
    <mergeCell ref="F371:J371"/>
    <mergeCell ref="A374:B374"/>
    <mergeCell ref="A456:O456"/>
    <mergeCell ref="A457:O457"/>
    <mergeCell ref="A458:O4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2" workbookViewId="0">
      <selection activeCell="A9" sqref="A9:T9"/>
    </sheetView>
  </sheetViews>
  <sheetFormatPr defaultRowHeight="15"/>
  <cols>
    <col min="1" max="1" width="7.85546875" customWidth="1"/>
    <col min="2" max="2" width="38.85546875" customWidth="1"/>
    <col min="3" max="3" width="18.140625" customWidth="1"/>
    <col min="4" max="4" width="18.85546875" customWidth="1"/>
    <col min="5" max="5" width="14.5703125" customWidth="1"/>
    <col min="6" max="6" width="10.42578125" customWidth="1"/>
    <col min="7" max="7" width="11.7109375" customWidth="1"/>
    <col min="8" max="9" width="10.42578125" customWidth="1"/>
    <col min="10" max="12" width="10.140625" customWidth="1"/>
    <col min="13" max="13" width="8.85546875" customWidth="1"/>
    <col min="14" max="15" width="10.28515625" customWidth="1"/>
    <col min="16" max="16" width="11" customWidth="1"/>
    <col min="17" max="17" width="9.85546875" customWidth="1"/>
    <col min="18" max="18" width="10" customWidth="1"/>
    <col min="20" max="20" width="13.5703125" customWidth="1"/>
  </cols>
  <sheetData>
    <row r="1" spans="1:21">
      <c r="R1" s="353" t="s">
        <v>65</v>
      </c>
      <c r="S1" s="353"/>
      <c r="T1" s="353"/>
    </row>
    <row r="2" spans="1:21">
      <c r="R2" s="353" t="s">
        <v>67</v>
      </c>
      <c r="S2" s="353"/>
      <c r="T2" s="353"/>
    </row>
    <row r="3" spans="1:21">
      <c r="R3" s="353" t="s">
        <v>66</v>
      </c>
      <c r="S3" s="353"/>
      <c r="T3" s="353"/>
    </row>
    <row r="4" spans="1:21" ht="22.5" customHeight="1">
      <c r="A4" s="347" t="s">
        <v>64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</row>
    <row r="5" spans="1:21" ht="16.5" customHeight="1">
      <c r="A5" s="347" t="s">
        <v>283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21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1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</row>
    <row r="8" spans="1:21" ht="23.25" customHeight="1">
      <c r="A8" s="347" t="s">
        <v>275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1:21" ht="20.25" customHeight="1">
      <c r="A9" s="347" t="s">
        <v>309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21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</row>
    <row r="11" spans="1:21">
      <c r="A11" s="2"/>
    </row>
    <row r="12" spans="1:21" ht="90.75" customHeight="1">
      <c r="A12" s="357" t="s">
        <v>0</v>
      </c>
      <c r="B12" s="357" t="s">
        <v>1</v>
      </c>
      <c r="C12" s="357" t="s">
        <v>2</v>
      </c>
      <c r="D12" s="357" t="s">
        <v>23</v>
      </c>
      <c r="E12" s="357" t="s">
        <v>24</v>
      </c>
      <c r="F12" s="357" t="s">
        <v>276</v>
      </c>
      <c r="G12" s="357"/>
      <c r="H12" s="357" t="s">
        <v>277</v>
      </c>
      <c r="I12" s="357"/>
      <c r="J12" s="357" t="s">
        <v>278</v>
      </c>
      <c r="K12" s="357"/>
      <c r="L12" s="357"/>
      <c r="M12" s="357"/>
      <c r="N12" s="357" t="s">
        <v>279</v>
      </c>
      <c r="O12" s="357"/>
      <c r="P12" s="357" t="s">
        <v>280</v>
      </c>
      <c r="Q12" s="357"/>
      <c r="R12" s="357"/>
      <c r="S12" s="357"/>
      <c r="T12" s="357" t="s">
        <v>25</v>
      </c>
      <c r="U12" s="2"/>
    </row>
    <row r="13" spans="1:21" ht="15" hidden="1" customHeight="1">
      <c r="A13" s="357"/>
      <c r="B13" s="357"/>
      <c r="C13" s="357"/>
      <c r="D13" s="357"/>
      <c r="E13" s="357"/>
      <c r="F13" s="357"/>
      <c r="G13" s="357"/>
      <c r="H13" s="357"/>
      <c r="I13" s="357"/>
      <c r="J13" s="357" t="s">
        <v>6</v>
      </c>
      <c r="K13" s="357"/>
      <c r="L13" s="357" t="s">
        <v>7</v>
      </c>
      <c r="M13" s="357"/>
      <c r="N13" s="357"/>
      <c r="O13" s="357"/>
      <c r="P13" s="357" t="s">
        <v>26</v>
      </c>
      <c r="Q13" s="357"/>
      <c r="R13" s="357"/>
      <c r="S13" s="25" t="s">
        <v>15</v>
      </c>
      <c r="T13" s="357"/>
      <c r="U13" s="2" t="s">
        <v>19</v>
      </c>
    </row>
    <row r="14" spans="1:21" ht="85.5">
      <c r="A14" s="357"/>
      <c r="B14" s="357"/>
      <c r="C14" s="357"/>
      <c r="D14" s="357"/>
      <c r="E14" s="357"/>
      <c r="F14" s="25" t="s">
        <v>27</v>
      </c>
      <c r="G14" s="25" t="s">
        <v>28</v>
      </c>
      <c r="H14" s="25" t="s">
        <v>27</v>
      </c>
      <c r="I14" s="25" t="s">
        <v>28</v>
      </c>
      <c r="J14" s="25" t="s">
        <v>27</v>
      </c>
      <c r="K14" s="25" t="s">
        <v>29</v>
      </c>
      <c r="L14" s="25" t="s">
        <v>27</v>
      </c>
      <c r="M14" s="25" t="s">
        <v>30</v>
      </c>
      <c r="N14" s="25" t="s">
        <v>27</v>
      </c>
      <c r="O14" s="25" t="s">
        <v>28</v>
      </c>
      <c r="P14" s="25" t="s">
        <v>27</v>
      </c>
      <c r="Q14" s="25" t="s">
        <v>29</v>
      </c>
      <c r="R14" s="25" t="s">
        <v>27</v>
      </c>
      <c r="S14" s="25" t="s">
        <v>29</v>
      </c>
      <c r="T14" s="357"/>
      <c r="U14" s="2"/>
    </row>
    <row r="15" spans="1:21" s="8" customForma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"/>
    </row>
    <row r="16" spans="1:21" ht="87.75" customHeight="1">
      <c r="A16" s="34">
        <v>1</v>
      </c>
      <c r="B16" s="31" t="s">
        <v>281</v>
      </c>
      <c r="C16" s="38" t="s">
        <v>272</v>
      </c>
      <c r="D16" s="38"/>
      <c r="E16" s="38"/>
      <c r="F16" s="43"/>
      <c r="G16" s="43"/>
      <c r="H16" s="38"/>
      <c r="I16" s="38"/>
      <c r="J16" s="43"/>
      <c r="K16" s="43"/>
      <c r="L16" s="38"/>
      <c r="M16" s="38"/>
      <c r="N16" s="38"/>
      <c r="O16" s="38"/>
      <c r="P16" s="43"/>
      <c r="Q16" s="38"/>
      <c r="R16" s="38"/>
      <c r="S16" s="38"/>
      <c r="T16" s="38"/>
      <c r="U16" s="3"/>
    </row>
    <row r="17" spans="1:21" ht="71.25">
      <c r="A17" s="34">
        <v>2</v>
      </c>
      <c r="B17" s="31" t="s">
        <v>282</v>
      </c>
      <c r="C17" s="38" t="s">
        <v>273</v>
      </c>
      <c r="D17" s="38"/>
      <c r="E17" s="38"/>
      <c r="F17" s="43"/>
      <c r="G17" s="43"/>
      <c r="H17" s="38"/>
      <c r="I17" s="38"/>
      <c r="J17" s="43"/>
      <c r="K17" s="43"/>
      <c r="L17" s="38"/>
      <c r="M17" s="38"/>
      <c r="N17" s="38"/>
      <c r="O17" s="38"/>
      <c r="P17" s="43"/>
      <c r="Q17" s="38"/>
      <c r="R17" s="38"/>
      <c r="S17" s="38"/>
      <c r="T17" s="38"/>
      <c r="U17" s="3"/>
    </row>
    <row r="18" spans="1:21" s="54" customFormat="1" ht="15.75" customHeight="1">
      <c r="A18" s="358" t="s">
        <v>31</v>
      </c>
      <c r="B18" s="358"/>
      <c r="C18" s="358"/>
      <c r="D18" s="47" t="s">
        <v>16</v>
      </c>
      <c r="E18" s="47" t="s">
        <v>16</v>
      </c>
      <c r="F18" s="47" t="s">
        <v>16</v>
      </c>
      <c r="G18" s="47" t="s">
        <v>16</v>
      </c>
      <c r="H18" s="47" t="s">
        <v>16</v>
      </c>
      <c r="I18" s="47" t="s">
        <v>16</v>
      </c>
      <c r="J18" s="47" t="s">
        <v>16</v>
      </c>
      <c r="K18" s="47" t="s">
        <v>16</v>
      </c>
      <c r="L18" s="47" t="s">
        <v>16</v>
      </c>
      <c r="M18" s="47" t="s">
        <v>16</v>
      </c>
      <c r="N18" s="47" t="s">
        <v>16</v>
      </c>
      <c r="O18" s="47" t="s">
        <v>16</v>
      </c>
      <c r="P18" s="47" t="s">
        <v>16</v>
      </c>
      <c r="Q18" s="47" t="s">
        <v>16</v>
      </c>
      <c r="R18" s="47" t="s">
        <v>16</v>
      </c>
      <c r="S18" s="47" t="s">
        <v>16</v>
      </c>
      <c r="T18" s="47" t="s">
        <v>16</v>
      </c>
    </row>
    <row r="19" spans="1:21" ht="15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6"/>
      <c r="N19" s="16"/>
      <c r="O19" s="16"/>
      <c r="P19" s="16"/>
      <c r="Q19" s="16"/>
      <c r="R19" s="16"/>
      <c r="S19" s="16"/>
      <c r="T19" s="16"/>
    </row>
    <row r="20" spans="1:21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1" s="17" customFormat="1" ht="33.75" customHeight="1">
      <c r="A21" s="354" t="s">
        <v>32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</row>
  </sheetData>
  <mergeCells count="26">
    <mergeCell ref="A21:L21"/>
    <mergeCell ref="A9:T9"/>
    <mergeCell ref="A10:T10"/>
    <mergeCell ref="A5:T5"/>
    <mergeCell ref="R1:T1"/>
    <mergeCell ref="R2:T2"/>
    <mergeCell ref="R3:T3"/>
    <mergeCell ref="A4:T4"/>
    <mergeCell ref="A6:T6"/>
    <mergeCell ref="A7:T7"/>
    <mergeCell ref="A8:T8"/>
    <mergeCell ref="T12:T14"/>
    <mergeCell ref="J13:K13"/>
    <mergeCell ref="L13:M13"/>
    <mergeCell ref="P13:R13"/>
    <mergeCell ref="A18:C18"/>
    <mergeCell ref="P12:S12"/>
    <mergeCell ref="A12:A14"/>
    <mergeCell ref="B12:B14"/>
    <mergeCell ref="C12:C14"/>
    <mergeCell ref="D12:D14"/>
    <mergeCell ref="E12:E14"/>
    <mergeCell ref="F12:G13"/>
    <mergeCell ref="H12:I13"/>
    <mergeCell ref="J12:M12"/>
    <mergeCell ref="N12:O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7" workbookViewId="0">
      <selection activeCell="A9" sqref="A9:T9"/>
    </sheetView>
  </sheetViews>
  <sheetFormatPr defaultRowHeight="15"/>
  <cols>
    <col min="1" max="1" width="13.28515625" customWidth="1"/>
    <col min="2" max="2" width="35.28515625" customWidth="1"/>
    <col min="3" max="3" width="14" customWidth="1"/>
    <col min="4" max="4" width="18.85546875" customWidth="1"/>
    <col min="5" max="5" width="13.7109375" customWidth="1"/>
    <col min="6" max="9" width="10.42578125" customWidth="1"/>
    <col min="10" max="10" width="8.85546875" customWidth="1"/>
    <col min="11" max="12" width="10.140625" customWidth="1"/>
    <col min="13" max="13" width="8" customWidth="1"/>
    <col min="14" max="15" width="10.28515625" customWidth="1"/>
    <col min="16" max="16" width="9.5703125" customWidth="1"/>
    <col min="17" max="18" width="8.140625" customWidth="1"/>
    <col min="20" max="20" width="13.5703125" customWidth="1"/>
  </cols>
  <sheetData>
    <row r="1" spans="1:21" ht="18.75" customHeight="1">
      <c r="A1" s="1"/>
      <c r="R1" s="353" t="s">
        <v>33</v>
      </c>
      <c r="S1" s="353"/>
      <c r="T1" s="353"/>
    </row>
    <row r="2" spans="1:21" ht="15" customHeight="1">
      <c r="A2" s="1"/>
      <c r="R2" s="353" t="s">
        <v>19</v>
      </c>
      <c r="S2" s="353"/>
      <c r="T2" s="353"/>
    </row>
    <row r="3" spans="1:21" ht="12.75" customHeight="1">
      <c r="A3" s="1"/>
      <c r="R3" s="353" t="s">
        <v>20</v>
      </c>
      <c r="S3" s="353"/>
      <c r="T3" s="353"/>
    </row>
    <row r="4" spans="1:21" ht="23.25" customHeight="1">
      <c r="A4" s="347" t="s">
        <v>34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</row>
    <row r="5" spans="1:21" ht="16.5" customHeight="1">
      <c r="A5" s="347" t="s">
        <v>283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21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1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</row>
    <row r="8" spans="1:21" ht="23.25" customHeight="1">
      <c r="A8" s="347" t="s">
        <v>275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1:21" ht="20.25" customHeight="1">
      <c r="A9" s="347" t="s">
        <v>309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21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</row>
    <row r="11" spans="1:21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"/>
    </row>
    <row r="12" spans="1:21" s="8" customFormat="1" ht="45" customHeight="1">
      <c r="A12" s="357" t="s">
        <v>0</v>
      </c>
      <c r="B12" s="357" t="s">
        <v>1</v>
      </c>
      <c r="C12" s="357" t="s">
        <v>2</v>
      </c>
      <c r="D12" s="357" t="s">
        <v>35</v>
      </c>
      <c r="E12" s="357" t="s">
        <v>36</v>
      </c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 t="s">
        <v>295</v>
      </c>
      <c r="T12" s="357"/>
      <c r="U12" s="2"/>
    </row>
    <row r="13" spans="1:21">
      <c r="A13" s="357"/>
      <c r="B13" s="357"/>
      <c r="C13" s="357"/>
      <c r="D13" s="357"/>
      <c r="E13" s="357" t="s">
        <v>6</v>
      </c>
      <c r="F13" s="357"/>
      <c r="G13" s="357"/>
      <c r="H13" s="357"/>
      <c r="I13" s="357"/>
      <c r="J13" s="357"/>
      <c r="K13" s="357"/>
      <c r="L13" s="357" t="s">
        <v>7</v>
      </c>
      <c r="M13" s="357"/>
      <c r="N13" s="357"/>
      <c r="O13" s="357"/>
      <c r="P13" s="357"/>
      <c r="Q13" s="357"/>
      <c r="R13" s="357"/>
      <c r="S13" s="357"/>
      <c r="T13" s="357"/>
      <c r="U13" s="3"/>
    </row>
    <row r="14" spans="1:21" ht="15.75" customHeight="1">
      <c r="A14" s="357"/>
      <c r="B14" s="357"/>
      <c r="C14" s="357"/>
      <c r="D14" s="357"/>
      <c r="E14" s="25" t="s">
        <v>37</v>
      </c>
      <c r="F14" s="357" t="s">
        <v>38</v>
      </c>
      <c r="G14" s="357"/>
      <c r="H14" s="357"/>
      <c r="I14" s="357"/>
      <c r="J14" s="357"/>
      <c r="K14" s="357"/>
      <c r="L14" s="25" t="s">
        <v>37</v>
      </c>
      <c r="M14" s="357" t="s">
        <v>38</v>
      </c>
      <c r="N14" s="357"/>
      <c r="O14" s="357"/>
      <c r="P14" s="357"/>
      <c r="Q14" s="357"/>
      <c r="R14" s="357"/>
      <c r="S14" s="25" t="s">
        <v>37</v>
      </c>
      <c r="T14" s="25" t="s">
        <v>38</v>
      </c>
    </row>
    <row r="15" spans="1:21" ht="63.75" customHeight="1">
      <c r="A15" s="357"/>
      <c r="B15" s="357"/>
      <c r="C15" s="357"/>
      <c r="D15" s="357"/>
      <c r="E15" s="25" t="s">
        <v>26</v>
      </c>
      <c r="F15" s="25" t="s">
        <v>26</v>
      </c>
      <c r="G15" s="25" t="s">
        <v>39</v>
      </c>
      <c r="H15" s="25" t="s">
        <v>40</v>
      </c>
      <c r="I15" s="25" t="s">
        <v>41</v>
      </c>
      <c r="J15" s="25" t="s">
        <v>42</v>
      </c>
      <c r="K15" s="25" t="s">
        <v>43</v>
      </c>
      <c r="L15" s="25" t="s">
        <v>26</v>
      </c>
      <c r="M15" s="25" t="s">
        <v>26</v>
      </c>
      <c r="N15" s="25" t="s">
        <v>39</v>
      </c>
      <c r="O15" s="25" t="s">
        <v>40</v>
      </c>
      <c r="P15" s="25" t="s">
        <v>41</v>
      </c>
      <c r="Q15" s="25" t="s">
        <v>42</v>
      </c>
      <c r="R15" s="25" t="s">
        <v>43</v>
      </c>
      <c r="S15" s="25" t="s">
        <v>26</v>
      </c>
      <c r="T15" s="25" t="s">
        <v>15</v>
      </c>
    </row>
    <row r="16" spans="1:21" s="8" customFormat="1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 t="s">
        <v>44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</row>
    <row r="17" spans="1:20" ht="103.5" customHeight="1">
      <c r="A17" s="34">
        <v>1</v>
      </c>
      <c r="B17" s="31" t="s">
        <v>281</v>
      </c>
      <c r="C17" s="38" t="s">
        <v>272</v>
      </c>
      <c r="D17" s="10" t="s">
        <v>16</v>
      </c>
      <c r="E17" s="10" t="s">
        <v>16</v>
      </c>
      <c r="F17" s="10" t="s">
        <v>16</v>
      </c>
      <c r="G17" s="10" t="s">
        <v>16</v>
      </c>
      <c r="H17" s="10" t="s">
        <v>16</v>
      </c>
      <c r="I17" s="10" t="s">
        <v>16</v>
      </c>
      <c r="J17" s="10" t="s">
        <v>16</v>
      </c>
      <c r="K17" s="10" t="s">
        <v>16</v>
      </c>
      <c r="L17" s="10" t="s">
        <v>16</v>
      </c>
      <c r="M17" s="10" t="s">
        <v>16</v>
      </c>
      <c r="N17" s="10" t="s">
        <v>16</v>
      </c>
      <c r="O17" s="10" t="s">
        <v>16</v>
      </c>
      <c r="P17" s="10" t="s">
        <v>16</v>
      </c>
      <c r="Q17" s="10" t="s">
        <v>16</v>
      </c>
      <c r="R17" s="10" t="s">
        <v>16</v>
      </c>
      <c r="S17" s="10" t="s">
        <v>16</v>
      </c>
      <c r="T17" s="10" t="s">
        <v>16</v>
      </c>
    </row>
    <row r="18" spans="1:20" ht="73.5" customHeight="1">
      <c r="A18" s="34">
        <v>2</v>
      </c>
      <c r="B18" s="31" t="s">
        <v>282</v>
      </c>
      <c r="C18" s="38" t="s">
        <v>273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 customHeight="1">
      <c r="A19" s="359" t="s">
        <v>31</v>
      </c>
      <c r="B19" s="360"/>
      <c r="C19" s="361"/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5"/>
      <c r="N19" s="5"/>
      <c r="O19" s="5"/>
      <c r="P19" s="5"/>
      <c r="Q19" s="5"/>
      <c r="R19" s="5"/>
      <c r="S19" s="5"/>
      <c r="T19" s="5"/>
    </row>
    <row r="20" spans="1:20">
      <c r="A20" s="2"/>
    </row>
    <row r="21" spans="1:20">
      <c r="A21" s="2"/>
    </row>
    <row r="22" spans="1:20">
      <c r="A22" s="3"/>
    </row>
  </sheetData>
  <mergeCells count="21">
    <mergeCell ref="S12:T13"/>
    <mergeCell ref="E13:K13"/>
    <mergeCell ref="L13:R13"/>
    <mergeCell ref="A10:T10"/>
    <mergeCell ref="A8:T8"/>
    <mergeCell ref="A19:C19"/>
    <mergeCell ref="A4:T4"/>
    <mergeCell ref="A5:T5"/>
    <mergeCell ref="A6:T6"/>
    <mergeCell ref="R1:T1"/>
    <mergeCell ref="R2:T2"/>
    <mergeCell ref="R3:T3"/>
    <mergeCell ref="F14:K14"/>
    <mergeCell ref="M14:R14"/>
    <mergeCell ref="A12:A15"/>
    <mergeCell ref="B12:B15"/>
    <mergeCell ref="C12:C15"/>
    <mergeCell ref="D12:D15"/>
    <mergeCell ref="E12:R12"/>
    <mergeCell ref="A7:T7"/>
    <mergeCell ref="A9:T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4" workbookViewId="0">
      <selection activeCell="A9" sqref="A9:V9"/>
    </sheetView>
  </sheetViews>
  <sheetFormatPr defaultRowHeight="15"/>
  <cols>
    <col min="1" max="1" width="9.28515625" customWidth="1"/>
    <col min="2" max="2" width="42" customWidth="1"/>
    <col min="3" max="3" width="17.28515625" customWidth="1"/>
    <col min="4" max="4" width="27" customWidth="1"/>
    <col min="5" max="5" width="13.7109375" customWidth="1"/>
    <col min="6" max="9" width="10.42578125" customWidth="1"/>
    <col min="10" max="10" width="8.85546875" customWidth="1"/>
    <col min="11" max="12" width="10.140625" customWidth="1"/>
    <col min="13" max="13" width="8" customWidth="1"/>
    <col min="14" max="15" width="10.28515625" customWidth="1"/>
    <col min="16" max="16" width="9.5703125" customWidth="1"/>
    <col min="17" max="18" width="8.140625" customWidth="1"/>
    <col min="20" max="20" width="13.5703125" customWidth="1"/>
  </cols>
  <sheetData>
    <row r="1" spans="1:22" ht="18.75" customHeight="1">
      <c r="A1" s="1" t="s">
        <v>45</v>
      </c>
    </row>
    <row r="2" spans="1:22" ht="15" customHeight="1">
      <c r="A2" s="1" t="s">
        <v>19</v>
      </c>
    </row>
    <row r="3" spans="1:22" ht="12.75" customHeight="1">
      <c r="A3" s="1" t="s">
        <v>20</v>
      </c>
    </row>
    <row r="4" spans="1:22" ht="23.25" customHeight="1">
      <c r="A4" s="347" t="s">
        <v>46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</row>
    <row r="5" spans="1:22" ht="16.5" customHeight="1">
      <c r="A5" s="347" t="s">
        <v>283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</row>
    <row r="6" spans="1:22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</row>
    <row r="7" spans="1:22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</row>
    <row r="8" spans="1:22" ht="23.25" customHeight="1">
      <c r="A8" s="347" t="s">
        <v>275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</row>
    <row r="9" spans="1:22" ht="20.25" customHeight="1">
      <c r="A9" s="347" t="s">
        <v>309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</row>
    <row r="10" spans="1:22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99" customHeight="1">
      <c r="A12" s="357" t="s">
        <v>0</v>
      </c>
      <c r="B12" s="357" t="s">
        <v>1</v>
      </c>
      <c r="C12" s="357" t="s">
        <v>2</v>
      </c>
      <c r="D12" s="357" t="s">
        <v>47</v>
      </c>
      <c r="E12" s="357" t="s">
        <v>296</v>
      </c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 t="s">
        <v>48</v>
      </c>
      <c r="R12" s="357"/>
      <c r="S12" s="357"/>
      <c r="T12" s="357"/>
      <c r="U12" s="357"/>
      <c r="V12" s="357" t="s">
        <v>25</v>
      </c>
    </row>
    <row r="13" spans="1:22" s="8" customFormat="1" ht="19.5" customHeight="1">
      <c r="A13" s="357"/>
      <c r="B13" s="357"/>
      <c r="C13" s="357"/>
      <c r="D13" s="357"/>
      <c r="E13" s="357" t="s">
        <v>6</v>
      </c>
      <c r="F13" s="357"/>
      <c r="G13" s="357"/>
      <c r="H13" s="357"/>
      <c r="I13" s="357"/>
      <c r="J13" s="357"/>
      <c r="K13" s="357" t="s">
        <v>7</v>
      </c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</row>
    <row r="14" spans="1:22" ht="24.75" customHeight="1">
      <c r="A14" s="357"/>
      <c r="B14" s="357"/>
      <c r="C14" s="357"/>
      <c r="D14" s="357"/>
      <c r="E14" s="25" t="s">
        <v>49</v>
      </c>
      <c r="F14" s="25" t="s">
        <v>39</v>
      </c>
      <c r="G14" s="25" t="s">
        <v>40</v>
      </c>
      <c r="H14" s="25" t="s">
        <v>41</v>
      </c>
      <c r="I14" s="25" t="s">
        <v>42</v>
      </c>
      <c r="J14" s="25" t="s">
        <v>43</v>
      </c>
      <c r="K14" s="25" t="s">
        <v>49</v>
      </c>
      <c r="L14" s="25" t="s">
        <v>39</v>
      </c>
      <c r="M14" s="25" t="s">
        <v>40</v>
      </c>
      <c r="N14" s="25" t="s">
        <v>41</v>
      </c>
      <c r="O14" s="25" t="s">
        <v>42</v>
      </c>
      <c r="P14" s="25" t="s">
        <v>43</v>
      </c>
      <c r="Q14" s="25" t="s">
        <v>39</v>
      </c>
      <c r="R14" s="25" t="s">
        <v>40</v>
      </c>
      <c r="S14" s="25" t="s">
        <v>41</v>
      </c>
      <c r="T14" s="25" t="s">
        <v>42</v>
      </c>
      <c r="U14" s="25" t="s">
        <v>43</v>
      </c>
      <c r="V14" s="357"/>
    </row>
    <row r="15" spans="1:22" ht="15.75" customHeigh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</row>
    <row r="16" spans="1:22" ht="93" customHeight="1">
      <c r="A16" s="30">
        <v>1</v>
      </c>
      <c r="B16" s="31" t="s">
        <v>281</v>
      </c>
      <c r="C16" s="38" t="s">
        <v>272</v>
      </c>
      <c r="D16" s="25" t="s">
        <v>16</v>
      </c>
      <c r="E16" s="25" t="s">
        <v>16</v>
      </c>
      <c r="F16" s="25" t="s">
        <v>16</v>
      </c>
      <c r="G16" s="25" t="s">
        <v>16</v>
      </c>
      <c r="H16" s="25" t="s">
        <v>16</v>
      </c>
      <c r="I16" s="25" t="s">
        <v>16</v>
      </c>
      <c r="J16" s="25" t="s">
        <v>16</v>
      </c>
      <c r="K16" s="25" t="s">
        <v>16</v>
      </c>
      <c r="L16" s="25" t="s">
        <v>16</v>
      </c>
      <c r="M16" s="25" t="s">
        <v>16</v>
      </c>
      <c r="N16" s="25" t="s">
        <v>16</v>
      </c>
      <c r="O16" s="25" t="s">
        <v>16</v>
      </c>
      <c r="P16" s="25" t="s">
        <v>16</v>
      </c>
      <c r="Q16" s="25" t="s">
        <v>16</v>
      </c>
      <c r="R16" s="25" t="s">
        <v>16</v>
      </c>
      <c r="S16" s="25" t="s">
        <v>16</v>
      </c>
      <c r="T16" s="25" t="s">
        <v>16</v>
      </c>
      <c r="U16" s="25" t="s">
        <v>16</v>
      </c>
      <c r="V16" s="25" t="s">
        <v>16</v>
      </c>
    </row>
    <row r="17" spans="1:22" ht="63.75" customHeight="1">
      <c r="A17" s="30">
        <v>2</v>
      </c>
      <c r="B17" s="31" t="s">
        <v>282</v>
      </c>
      <c r="C17" s="38" t="s">
        <v>273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8" customFormat="1">
      <c r="A18" s="357" t="s">
        <v>31</v>
      </c>
      <c r="B18" s="357"/>
      <c r="C18" s="357"/>
      <c r="D18" s="11" t="s">
        <v>16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1" t="s">
        <v>16</v>
      </c>
    </row>
    <row r="19" spans="1:22" ht="43.5">
      <c r="A19" s="1" t="s">
        <v>50</v>
      </c>
    </row>
    <row r="20" spans="1:22" ht="15" customHeight="1">
      <c r="A20" s="348" t="s">
        <v>51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</row>
    <row r="21" spans="1:22">
      <c r="A21" s="2"/>
    </row>
    <row r="22" spans="1:22">
      <c r="A22" s="2"/>
    </row>
  </sheetData>
  <mergeCells count="18">
    <mergeCell ref="A9:V9"/>
    <mergeCell ref="A10:V10"/>
    <mergeCell ref="A20:V20"/>
    <mergeCell ref="E12:P12"/>
    <mergeCell ref="Q12:U13"/>
    <mergeCell ref="V12:V14"/>
    <mergeCell ref="E13:J13"/>
    <mergeCell ref="K13:P13"/>
    <mergeCell ref="A18:C18"/>
    <mergeCell ref="A12:A14"/>
    <mergeCell ref="B12:B14"/>
    <mergeCell ref="C12:C14"/>
    <mergeCell ref="D12:D14"/>
    <mergeCell ref="A4:V4"/>
    <mergeCell ref="A5:V5"/>
    <mergeCell ref="A6:V6"/>
    <mergeCell ref="A7:V7"/>
    <mergeCell ref="A8:V8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7" workbookViewId="0">
      <selection activeCell="A9" sqref="A9:AA9"/>
    </sheetView>
  </sheetViews>
  <sheetFormatPr defaultRowHeight="15"/>
  <cols>
    <col min="1" max="1" width="10.5703125" customWidth="1"/>
    <col min="2" max="2" width="37" customWidth="1"/>
    <col min="3" max="3" width="18.7109375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7.42578125" customWidth="1"/>
    <col min="9" max="9" width="8" customWidth="1"/>
    <col min="10" max="10" width="5.8554687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4" width="7.140625" customWidth="1"/>
    <col min="25" max="25" width="5.140625" customWidth="1"/>
    <col min="26" max="26" width="8.140625" customWidth="1"/>
    <col min="27" max="27" width="13.5703125" customWidth="1"/>
  </cols>
  <sheetData>
    <row r="1" spans="1:27" ht="18.75" customHeight="1">
      <c r="A1" s="1" t="s">
        <v>52</v>
      </c>
    </row>
    <row r="2" spans="1:27" ht="15" customHeight="1">
      <c r="A2" s="1" t="s">
        <v>19</v>
      </c>
    </row>
    <row r="3" spans="1:27" ht="12.75" customHeight="1">
      <c r="A3" s="1" t="s">
        <v>20</v>
      </c>
    </row>
    <row r="4" spans="1:27" ht="23.25" customHeight="1">
      <c r="A4" s="347" t="s">
        <v>53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</row>
    <row r="5" spans="1:27" ht="16.5" customHeight="1">
      <c r="A5" s="347" t="s">
        <v>283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</row>
    <row r="6" spans="1:27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</row>
    <row r="7" spans="1:27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</row>
    <row r="8" spans="1:27" ht="23.25" customHeight="1">
      <c r="A8" s="347" t="s">
        <v>275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</row>
    <row r="9" spans="1:27" ht="20.25" customHeight="1">
      <c r="A9" s="347" t="s">
        <v>309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</row>
    <row r="10" spans="1:27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</row>
    <row r="11" spans="1:27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>
      <c r="A12" s="357" t="s">
        <v>0</v>
      </c>
      <c r="B12" s="357" t="s">
        <v>1</v>
      </c>
      <c r="C12" s="357" t="s">
        <v>2</v>
      </c>
      <c r="D12" s="357" t="s">
        <v>47</v>
      </c>
      <c r="E12" s="357" t="s">
        <v>297</v>
      </c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 t="s">
        <v>48</v>
      </c>
      <c r="U12" s="357"/>
      <c r="V12" s="357"/>
      <c r="W12" s="357"/>
      <c r="X12" s="357"/>
      <c r="Y12" s="357"/>
      <c r="Z12" s="357"/>
      <c r="AA12" s="357" t="s">
        <v>25</v>
      </c>
    </row>
    <row r="13" spans="1:27" ht="135" customHeight="1">
      <c r="A13" s="357"/>
      <c r="B13" s="357"/>
      <c r="C13" s="357"/>
      <c r="D13" s="357"/>
      <c r="E13" s="357" t="s">
        <v>6</v>
      </c>
      <c r="F13" s="357"/>
      <c r="G13" s="357"/>
      <c r="H13" s="357"/>
      <c r="I13" s="357"/>
      <c r="J13" s="357"/>
      <c r="K13" s="357"/>
      <c r="L13" s="357" t="s">
        <v>7</v>
      </c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</row>
    <row r="14" spans="1:27" s="8" customFormat="1" ht="43.5" customHeight="1">
      <c r="A14" s="357"/>
      <c r="B14" s="357"/>
      <c r="C14" s="357"/>
      <c r="D14" s="357"/>
      <c r="E14" s="25" t="s">
        <v>39</v>
      </c>
      <c r="F14" s="25" t="s">
        <v>40</v>
      </c>
      <c r="G14" s="25" t="s">
        <v>54</v>
      </c>
      <c r="H14" s="25" t="s">
        <v>55</v>
      </c>
      <c r="I14" s="25" t="s">
        <v>56</v>
      </c>
      <c r="J14" s="25" t="s">
        <v>42</v>
      </c>
      <c r="K14" s="25" t="s">
        <v>43</v>
      </c>
      <c r="L14" s="25" t="s">
        <v>57</v>
      </c>
      <c r="M14" s="25" t="s">
        <v>39</v>
      </c>
      <c r="N14" s="25" t="s">
        <v>40</v>
      </c>
      <c r="O14" s="25" t="s">
        <v>58</v>
      </c>
      <c r="P14" s="25" t="s">
        <v>59</v>
      </c>
      <c r="Q14" s="25" t="s">
        <v>60</v>
      </c>
      <c r="R14" s="25" t="s">
        <v>42</v>
      </c>
      <c r="S14" s="25" t="s">
        <v>43</v>
      </c>
      <c r="T14" s="25" t="s">
        <v>39</v>
      </c>
      <c r="U14" s="25" t="s">
        <v>40</v>
      </c>
      <c r="V14" s="25" t="s">
        <v>58</v>
      </c>
      <c r="W14" s="25" t="s">
        <v>55</v>
      </c>
      <c r="X14" s="25" t="s">
        <v>60</v>
      </c>
      <c r="Y14" s="25" t="s">
        <v>42</v>
      </c>
      <c r="Z14" s="25" t="s">
        <v>43</v>
      </c>
      <c r="AA14" s="357"/>
    </row>
    <row r="15" spans="1:27" s="8" customForma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  <c r="W15" s="25">
        <v>23</v>
      </c>
      <c r="X15" s="25">
        <v>24</v>
      </c>
      <c r="Y15" s="25">
        <v>25</v>
      </c>
      <c r="Z15" s="25">
        <v>26</v>
      </c>
      <c r="AA15" s="25">
        <v>27</v>
      </c>
    </row>
    <row r="16" spans="1:27" ht="90" customHeight="1">
      <c r="A16" s="30">
        <v>1</v>
      </c>
      <c r="B16" s="31" t="s">
        <v>281</v>
      </c>
      <c r="C16" s="38" t="s">
        <v>272</v>
      </c>
      <c r="D16" s="26" t="s">
        <v>16</v>
      </c>
      <c r="E16" s="26" t="s">
        <v>16</v>
      </c>
      <c r="F16" s="26" t="s">
        <v>16</v>
      </c>
      <c r="G16" s="26" t="s">
        <v>16</v>
      </c>
      <c r="H16" s="26" t="s">
        <v>16</v>
      </c>
      <c r="I16" s="26" t="s">
        <v>16</v>
      </c>
      <c r="J16" s="26" t="s">
        <v>16</v>
      </c>
      <c r="K16" s="26" t="s">
        <v>16</v>
      </c>
      <c r="L16" s="26" t="s">
        <v>16</v>
      </c>
      <c r="M16" s="26" t="s">
        <v>16</v>
      </c>
      <c r="N16" s="26" t="s">
        <v>16</v>
      </c>
      <c r="O16" s="26" t="s">
        <v>16</v>
      </c>
      <c r="P16" s="26" t="s">
        <v>16</v>
      </c>
      <c r="Q16" s="26" t="s">
        <v>16</v>
      </c>
      <c r="R16" s="26" t="s">
        <v>16</v>
      </c>
      <c r="S16" s="26" t="s">
        <v>16</v>
      </c>
      <c r="T16" s="26" t="s">
        <v>16</v>
      </c>
      <c r="U16" s="26" t="s">
        <v>16</v>
      </c>
      <c r="V16" s="26" t="s">
        <v>16</v>
      </c>
      <c r="W16" s="26" t="s">
        <v>16</v>
      </c>
      <c r="X16" s="26" t="s">
        <v>16</v>
      </c>
      <c r="Y16" s="26" t="s">
        <v>16</v>
      </c>
      <c r="Z16" s="26" t="s">
        <v>16</v>
      </c>
      <c r="AA16" s="26" t="s">
        <v>16</v>
      </c>
    </row>
    <row r="17" spans="1:27" ht="74.25" customHeight="1">
      <c r="A17" s="30">
        <v>2</v>
      </c>
      <c r="B17" s="31" t="s">
        <v>282</v>
      </c>
      <c r="C17" s="38" t="s">
        <v>273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22.5" customHeight="1">
      <c r="A18" s="363" t="s">
        <v>31</v>
      </c>
      <c r="B18" s="363"/>
      <c r="C18" s="363"/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10" t="s">
        <v>16</v>
      </c>
      <c r="O18" s="10" t="s">
        <v>16</v>
      </c>
      <c r="P18" s="10" t="s">
        <v>16</v>
      </c>
      <c r="Q18" s="10" t="s">
        <v>16</v>
      </c>
      <c r="R18" s="10" t="s">
        <v>16</v>
      </c>
      <c r="S18" s="10" t="s">
        <v>16</v>
      </c>
      <c r="T18" s="10" t="s">
        <v>16</v>
      </c>
      <c r="U18" s="10" t="s">
        <v>16</v>
      </c>
      <c r="V18" s="10" t="s">
        <v>16</v>
      </c>
      <c r="W18" s="10" t="s">
        <v>16</v>
      </c>
      <c r="X18" s="10" t="s">
        <v>16</v>
      </c>
      <c r="Y18" s="10" t="s">
        <v>16</v>
      </c>
      <c r="Z18" s="10" t="s">
        <v>16</v>
      </c>
      <c r="AA18" s="10" t="s">
        <v>16</v>
      </c>
    </row>
    <row r="19" spans="1:27" ht="35.25" customHeight="1">
      <c r="A19" s="362" t="s">
        <v>51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</row>
    <row r="20" spans="1:27" ht="15" customHeight="1">
      <c r="A20" s="2"/>
    </row>
    <row r="21" spans="1:27">
      <c r="A21" s="2"/>
    </row>
  </sheetData>
  <mergeCells count="18">
    <mergeCell ref="A19:AA19"/>
    <mergeCell ref="A10:AA10"/>
    <mergeCell ref="T12:Z13"/>
    <mergeCell ref="AA12:AA14"/>
    <mergeCell ref="E13:K13"/>
    <mergeCell ref="L13:S13"/>
    <mergeCell ref="E12:S12"/>
    <mergeCell ref="A18:C18"/>
    <mergeCell ref="A12:A14"/>
    <mergeCell ref="B12:B14"/>
    <mergeCell ref="C12:C14"/>
    <mergeCell ref="D12:D14"/>
    <mergeCell ref="A8:AA8"/>
    <mergeCell ref="A6:AA6"/>
    <mergeCell ref="A5:AA5"/>
    <mergeCell ref="A4:AA4"/>
    <mergeCell ref="A9:AA9"/>
    <mergeCell ref="A7:AA7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10" sqref="A10:T10"/>
    </sheetView>
  </sheetViews>
  <sheetFormatPr defaultRowHeight="15"/>
  <cols>
    <col min="1" max="1" width="13" customWidth="1"/>
    <col min="2" max="2" width="40.85546875" customWidth="1"/>
    <col min="3" max="3" width="16.5703125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10.42578125" customWidth="1"/>
    <col min="9" max="9" width="8" customWidth="1"/>
    <col min="10" max="10" width="10.4257812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0" width="8.42578125" customWidth="1"/>
    <col min="21" max="24" width="7.140625" customWidth="1"/>
    <col min="25" max="25" width="5.140625" customWidth="1"/>
    <col min="26" max="26" width="8.140625" customWidth="1"/>
  </cols>
  <sheetData>
    <row r="1" spans="1:27" s="8" customFormat="1" ht="18" customHeight="1">
      <c r="A1" s="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362" t="s">
        <v>68</v>
      </c>
      <c r="R1" s="362"/>
      <c r="S1" s="362"/>
      <c r="T1" s="362"/>
      <c r="U1" s="362"/>
      <c r="V1" s="15"/>
      <c r="W1" s="15"/>
      <c r="X1" s="15"/>
      <c r="Y1" s="15"/>
      <c r="Z1" s="15"/>
      <c r="AA1" s="15"/>
    </row>
    <row r="2" spans="1:27" ht="15.75" customHeight="1">
      <c r="A2" s="1"/>
      <c r="Q2" s="362" t="s">
        <v>19</v>
      </c>
      <c r="R2" s="362"/>
      <c r="S2" s="362"/>
      <c r="T2" s="362"/>
      <c r="U2" s="362"/>
      <c r="V2" s="16"/>
      <c r="W2" s="16"/>
      <c r="X2" s="16"/>
      <c r="Y2" s="16"/>
      <c r="Z2" s="16"/>
      <c r="AA2" s="16"/>
    </row>
    <row r="3" spans="1:27" ht="15" customHeight="1">
      <c r="A3" s="1"/>
      <c r="Q3" s="362" t="s">
        <v>20</v>
      </c>
      <c r="R3" s="362"/>
      <c r="S3" s="362"/>
      <c r="T3" s="362"/>
      <c r="U3" s="362"/>
      <c r="V3" s="16"/>
      <c r="W3" s="16"/>
      <c r="X3" s="16"/>
      <c r="Y3" s="16"/>
      <c r="Z3" s="16"/>
      <c r="AA3" s="16"/>
    </row>
    <row r="4" spans="1:27" ht="15" customHeight="1">
      <c r="A4" s="39"/>
      <c r="Q4" s="39"/>
      <c r="R4" s="39"/>
      <c r="S4" s="39"/>
      <c r="T4" s="39"/>
      <c r="U4" s="39"/>
      <c r="V4" s="16"/>
      <c r="W4" s="16"/>
      <c r="X4" s="16"/>
      <c r="Y4" s="16"/>
      <c r="Z4" s="16"/>
      <c r="AA4" s="16"/>
    </row>
    <row r="5" spans="1:27" s="8" customFormat="1" ht="15" customHeight="1">
      <c r="A5" s="347" t="s">
        <v>69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17"/>
      <c r="W5" s="17"/>
      <c r="X5" s="17"/>
      <c r="Y5" s="17"/>
      <c r="Z5" s="17"/>
      <c r="AA5" s="17"/>
    </row>
    <row r="6" spans="1:27" ht="16.5" customHeight="1">
      <c r="A6" s="347" t="s">
        <v>283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7" ht="18.75" customHeight="1">
      <c r="A7" s="347" t="s">
        <v>274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</row>
    <row r="8" spans="1:27" ht="12.75" customHeight="1">
      <c r="A8" s="348" t="s">
        <v>21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</row>
    <row r="9" spans="1:27" ht="23.25" customHeight="1">
      <c r="A9" s="347" t="s">
        <v>275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27" ht="20.25" customHeight="1">
      <c r="A10" s="347" t="s">
        <v>309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</row>
    <row r="11" spans="1:27" ht="18.75" customHeight="1">
      <c r="A11" s="348" t="s">
        <v>63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</row>
    <row r="12" spans="1:27" ht="20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7" ht="30" customHeight="1">
      <c r="A13" s="357" t="s">
        <v>0</v>
      </c>
      <c r="B13" s="357" t="s">
        <v>1</v>
      </c>
      <c r="C13" s="357" t="s">
        <v>2</v>
      </c>
      <c r="D13" s="357" t="s">
        <v>70</v>
      </c>
      <c r="E13" s="357" t="s">
        <v>299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 t="s">
        <v>298</v>
      </c>
      <c r="Q13" s="357"/>
      <c r="R13" s="357"/>
      <c r="S13" s="357"/>
      <c r="T13" s="357"/>
      <c r="U13" s="357" t="s">
        <v>25</v>
      </c>
    </row>
    <row r="14" spans="1:27">
      <c r="A14" s="357"/>
      <c r="B14" s="357"/>
      <c r="C14" s="357"/>
      <c r="D14" s="357"/>
      <c r="E14" s="357" t="s">
        <v>6</v>
      </c>
      <c r="F14" s="357"/>
      <c r="G14" s="357"/>
      <c r="H14" s="357"/>
      <c r="I14" s="357"/>
      <c r="J14" s="357" t="s">
        <v>7</v>
      </c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</row>
    <row r="15" spans="1:27" ht="60" customHeight="1">
      <c r="A15" s="357"/>
      <c r="B15" s="357"/>
      <c r="C15" s="357"/>
      <c r="D15" s="357"/>
      <c r="E15" s="25" t="s">
        <v>39</v>
      </c>
      <c r="F15" s="25" t="s">
        <v>40</v>
      </c>
      <c r="G15" s="25" t="s">
        <v>41</v>
      </c>
      <c r="H15" s="25" t="s">
        <v>42</v>
      </c>
      <c r="I15" s="25" t="s">
        <v>43</v>
      </c>
      <c r="J15" s="25" t="s">
        <v>71</v>
      </c>
      <c r="K15" s="25" t="s">
        <v>39</v>
      </c>
      <c r="L15" s="25" t="s">
        <v>40</v>
      </c>
      <c r="M15" s="25" t="s">
        <v>41</v>
      </c>
      <c r="N15" s="25" t="s">
        <v>42</v>
      </c>
      <c r="O15" s="25" t="s">
        <v>43</v>
      </c>
      <c r="P15" s="25" t="s">
        <v>39</v>
      </c>
      <c r="Q15" s="25" t="s">
        <v>40</v>
      </c>
      <c r="R15" s="25" t="s">
        <v>41</v>
      </c>
      <c r="S15" s="25" t="s">
        <v>42</v>
      </c>
      <c r="T15" s="25" t="s">
        <v>43</v>
      </c>
      <c r="U15" s="357"/>
    </row>
    <row r="16" spans="1:27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</row>
    <row r="17" spans="1:21" ht="91.5" customHeight="1">
      <c r="A17" s="34">
        <v>1</v>
      </c>
      <c r="B17" s="31" t="s">
        <v>281</v>
      </c>
      <c r="C17" s="38" t="s">
        <v>272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61.5" customHeight="1">
      <c r="A18" s="34">
        <v>2</v>
      </c>
      <c r="B18" s="31" t="s">
        <v>282</v>
      </c>
      <c r="C18" s="38" t="s">
        <v>273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>
      <c r="A19" s="18" t="s">
        <v>16</v>
      </c>
      <c r="B19" s="18" t="s">
        <v>16</v>
      </c>
      <c r="C19" s="18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  <c r="Q19" s="18" t="s">
        <v>16</v>
      </c>
      <c r="R19" s="18" t="s">
        <v>16</v>
      </c>
      <c r="S19" s="18" t="s">
        <v>16</v>
      </c>
      <c r="T19" s="18" t="s">
        <v>16</v>
      </c>
      <c r="U19" s="18" t="s">
        <v>16</v>
      </c>
    </row>
    <row r="20" spans="1:21" ht="15" customHeight="1">
      <c r="A20" s="364" t="s">
        <v>31</v>
      </c>
      <c r="B20" s="364"/>
      <c r="C20" s="364"/>
      <c r="D20" s="18" t="s">
        <v>16</v>
      </c>
      <c r="E20" s="18" t="s">
        <v>16</v>
      </c>
      <c r="F20" s="18" t="s">
        <v>16</v>
      </c>
      <c r="G20" s="18" t="s">
        <v>72</v>
      </c>
      <c r="H20" s="18" t="s">
        <v>16</v>
      </c>
      <c r="I20" s="18" t="s">
        <v>16</v>
      </c>
      <c r="J20" s="18" t="s">
        <v>16</v>
      </c>
      <c r="K20" s="18"/>
    </row>
    <row r="21" spans="1:21">
      <c r="A21" s="2"/>
    </row>
    <row r="22" spans="1:21">
      <c r="A22" s="2"/>
    </row>
  </sheetData>
  <mergeCells count="20">
    <mergeCell ref="J14:O14"/>
    <mergeCell ref="A5:U5"/>
    <mergeCell ref="A6:T6"/>
    <mergeCell ref="A7:T7"/>
    <mergeCell ref="Q1:U1"/>
    <mergeCell ref="Q2:U2"/>
    <mergeCell ref="Q3:U3"/>
    <mergeCell ref="E13:O13"/>
    <mergeCell ref="P13:T14"/>
    <mergeCell ref="U13:U15"/>
    <mergeCell ref="A8:T8"/>
    <mergeCell ref="A9:T9"/>
    <mergeCell ref="A10:T10"/>
    <mergeCell ref="A11:T11"/>
    <mergeCell ref="E14:I14"/>
    <mergeCell ref="A20:C20"/>
    <mergeCell ref="A13:A15"/>
    <mergeCell ref="B13:B15"/>
    <mergeCell ref="C13:C15"/>
    <mergeCell ref="D13:D15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zoomScale="80" zoomScaleNormal="80" workbookViewId="0">
      <selection activeCell="A10" sqref="A10:T10"/>
    </sheetView>
  </sheetViews>
  <sheetFormatPr defaultRowHeight="15"/>
  <cols>
    <col min="1" max="1" width="9.28515625" customWidth="1"/>
    <col min="2" max="2" width="45.140625" customWidth="1"/>
    <col min="3" max="3" width="14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10.42578125" customWidth="1"/>
    <col min="9" max="9" width="8" customWidth="1"/>
    <col min="10" max="10" width="5.8554687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5" width="9" customWidth="1"/>
    <col min="16" max="16" width="10.28515625" customWidth="1"/>
    <col min="17" max="17" width="7.42578125" customWidth="1"/>
    <col min="18" max="18" width="5.7109375" customWidth="1"/>
    <col min="19" max="19" width="8" customWidth="1"/>
    <col min="20" max="23" width="7.140625" customWidth="1"/>
    <col min="24" max="24" width="11.42578125" customWidth="1"/>
    <col min="25" max="25" width="5.140625" customWidth="1"/>
    <col min="26" max="26" width="8.140625" customWidth="1"/>
  </cols>
  <sheetData>
    <row r="1" spans="1:45" ht="15" customHeight="1">
      <c r="A1" s="2"/>
      <c r="AP1" s="362" t="s">
        <v>73</v>
      </c>
      <c r="AQ1" s="362"/>
      <c r="AR1" s="362"/>
      <c r="AS1" s="362"/>
    </row>
    <row r="2" spans="1:45" ht="18.75" customHeight="1">
      <c r="A2" s="1"/>
      <c r="AP2" s="362" t="s">
        <v>19</v>
      </c>
      <c r="AQ2" s="362"/>
      <c r="AR2" s="362"/>
      <c r="AS2" s="362"/>
    </row>
    <row r="3" spans="1:45" ht="16.5" customHeight="1">
      <c r="A3" s="1"/>
      <c r="AP3" s="362" t="s">
        <v>20</v>
      </c>
      <c r="AQ3" s="362"/>
      <c r="AR3" s="362"/>
      <c r="AS3" s="362"/>
    </row>
    <row r="4" spans="1:45">
      <c r="A4" s="1"/>
    </row>
    <row r="5" spans="1:45" ht="21" customHeight="1">
      <c r="A5" s="362" t="s">
        <v>285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</row>
    <row r="6" spans="1:45" ht="16.5" customHeight="1">
      <c r="A6" s="347" t="s">
        <v>283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45" ht="18.75" customHeight="1">
      <c r="A7" s="347" t="s">
        <v>274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</row>
    <row r="8" spans="1:45" ht="12.75" customHeight="1">
      <c r="A8" s="348" t="s">
        <v>21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</row>
    <row r="9" spans="1:45" ht="23.25" customHeight="1">
      <c r="A9" s="347" t="s">
        <v>275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45" ht="20.25" customHeight="1">
      <c r="A10" s="347" t="s">
        <v>309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</row>
    <row r="11" spans="1:45" ht="18.75" customHeight="1">
      <c r="A11" s="348" t="s">
        <v>63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</row>
    <row r="12" spans="1:45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5" customHeight="1">
      <c r="A13" s="357" t="s">
        <v>0</v>
      </c>
      <c r="B13" s="357" t="s">
        <v>1</v>
      </c>
      <c r="C13" s="357" t="s">
        <v>2</v>
      </c>
      <c r="D13" s="357" t="s">
        <v>294</v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</row>
    <row r="14" spans="1:45" ht="85.5" customHeight="1">
      <c r="A14" s="357"/>
      <c r="B14" s="357"/>
      <c r="C14" s="357"/>
      <c r="D14" s="357" t="s">
        <v>74</v>
      </c>
      <c r="E14" s="357"/>
      <c r="F14" s="357"/>
      <c r="G14" s="357"/>
      <c r="H14" s="357"/>
      <c r="I14" s="357"/>
      <c r="J14" s="357" t="s">
        <v>75</v>
      </c>
      <c r="K14" s="357"/>
      <c r="L14" s="357"/>
      <c r="M14" s="357"/>
      <c r="N14" s="357"/>
      <c r="O14" s="357"/>
      <c r="P14" s="357" t="s">
        <v>76</v>
      </c>
      <c r="Q14" s="357"/>
      <c r="R14" s="357"/>
      <c r="S14" s="357"/>
      <c r="T14" s="357"/>
      <c r="U14" s="357"/>
      <c r="V14" s="357" t="s">
        <v>77</v>
      </c>
      <c r="W14" s="357"/>
      <c r="X14" s="357"/>
      <c r="Y14" s="357"/>
      <c r="Z14" s="357"/>
      <c r="AA14" s="357"/>
      <c r="AB14" s="357" t="s">
        <v>78</v>
      </c>
      <c r="AC14" s="357"/>
      <c r="AD14" s="357"/>
      <c r="AE14" s="357"/>
      <c r="AF14" s="357"/>
      <c r="AG14" s="357"/>
      <c r="AH14" s="357" t="s">
        <v>79</v>
      </c>
      <c r="AI14" s="357"/>
      <c r="AJ14" s="357"/>
      <c r="AK14" s="357"/>
      <c r="AL14" s="357"/>
      <c r="AM14" s="357"/>
      <c r="AN14" s="357" t="s">
        <v>80</v>
      </c>
      <c r="AO14" s="357"/>
      <c r="AP14" s="357"/>
      <c r="AQ14" s="357"/>
      <c r="AR14" s="357"/>
      <c r="AS14" s="357"/>
    </row>
    <row r="15" spans="1:45" ht="158.25" customHeight="1">
      <c r="A15" s="357"/>
      <c r="B15" s="357"/>
      <c r="C15" s="357"/>
      <c r="D15" s="357" t="s">
        <v>81</v>
      </c>
      <c r="E15" s="357"/>
      <c r="F15" s="357" t="s">
        <v>81</v>
      </c>
      <c r="G15" s="357"/>
      <c r="H15" s="357" t="s">
        <v>82</v>
      </c>
      <c r="I15" s="357"/>
      <c r="J15" s="357" t="s">
        <v>81</v>
      </c>
      <c r="K15" s="357"/>
      <c r="L15" s="357" t="s">
        <v>81</v>
      </c>
      <c r="M15" s="357"/>
      <c r="N15" s="357" t="s">
        <v>82</v>
      </c>
      <c r="O15" s="357"/>
      <c r="P15" s="25" t="s">
        <v>81</v>
      </c>
      <c r="Q15" s="357" t="s">
        <v>81</v>
      </c>
      <c r="R15" s="357"/>
      <c r="S15" s="357"/>
      <c r="T15" s="25" t="s">
        <v>82</v>
      </c>
      <c r="U15" s="357" t="s">
        <v>81</v>
      </c>
      <c r="V15" s="357"/>
      <c r="W15" s="357"/>
      <c r="X15" s="25" t="s">
        <v>81</v>
      </c>
      <c r="Y15" s="357" t="s">
        <v>82</v>
      </c>
      <c r="Z15" s="357"/>
      <c r="AA15" s="357"/>
      <c r="AB15" s="25" t="s">
        <v>81</v>
      </c>
      <c r="AC15" s="357" t="s">
        <v>81</v>
      </c>
      <c r="AD15" s="357"/>
      <c r="AE15" s="357"/>
      <c r="AF15" s="25" t="s">
        <v>82</v>
      </c>
      <c r="AG15" s="357" t="s">
        <v>81</v>
      </c>
      <c r="AH15" s="357"/>
      <c r="AI15" s="357"/>
      <c r="AJ15" s="25" t="s">
        <v>81</v>
      </c>
      <c r="AK15" s="357" t="s">
        <v>82</v>
      </c>
      <c r="AL15" s="357"/>
      <c r="AM15" s="357"/>
      <c r="AN15" s="25" t="s">
        <v>81</v>
      </c>
      <c r="AO15" s="357" t="s">
        <v>81</v>
      </c>
      <c r="AP15" s="357"/>
      <c r="AQ15" s="357"/>
      <c r="AR15" s="25" t="s">
        <v>82</v>
      </c>
      <c r="AS15" s="42"/>
    </row>
    <row r="16" spans="1:45" ht="28.5">
      <c r="A16" s="357"/>
      <c r="B16" s="357"/>
      <c r="C16" s="357"/>
      <c r="D16" s="25" t="s">
        <v>83</v>
      </c>
      <c r="E16" s="25" t="s">
        <v>84</v>
      </c>
      <c r="F16" s="25" t="s">
        <v>83</v>
      </c>
      <c r="G16" s="25" t="s">
        <v>84</v>
      </c>
      <c r="H16" s="25" t="s">
        <v>83</v>
      </c>
      <c r="I16" s="25" t="s">
        <v>84</v>
      </c>
      <c r="J16" s="25" t="s">
        <v>83</v>
      </c>
      <c r="K16" s="25" t="s">
        <v>84</v>
      </c>
      <c r="L16" s="25" t="s">
        <v>83</v>
      </c>
      <c r="M16" s="25" t="s">
        <v>84</v>
      </c>
      <c r="N16" s="25" t="s">
        <v>83</v>
      </c>
      <c r="O16" s="25" t="s">
        <v>84</v>
      </c>
      <c r="P16" s="25" t="s">
        <v>83</v>
      </c>
      <c r="Q16" s="25" t="s">
        <v>84</v>
      </c>
      <c r="R16" s="25" t="s">
        <v>83</v>
      </c>
      <c r="S16" s="25" t="s">
        <v>84</v>
      </c>
      <c r="T16" s="25" t="s">
        <v>83</v>
      </c>
      <c r="U16" s="25" t="s">
        <v>84</v>
      </c>
      <c r="V16" s="25" t="s">
        <v>83</v>
      </c>
      <c r="W16" s="25" t="s">
        <v>84</v>
      </c>
      <c r="X16" s="25" t="s">
        <v>83</v>
      </c>
      <c r="Y16" s="25" t="s">
        <v>84</v>
      </c>
      <c r="Z16" s="25" t="s">
        <v>83</v>
      </c>
      <c r="AA16" s="25" t="s">
        <v>84</v>
      </c>
      <c r="AB16" s="25" t="s">
        <v>83</v>
      </c>
      <c r="AC16" s="25" t="s">
        <v>84</v>
      </c>
      <c r="AD16" s="25" t="s">
        <v>83</v>
      </c>
      <c r="AE16" s="25" t="s">
        <v>84</v>
      </c>
      <c r="AF16" s="25" t="s">
        <v>83</v>
      </c>
      <c r="AG16" s="25" t="s">
        <v>84</v>
      </c>
      <c r="AH16" s="25" t="s">
        <v>83</v>
      </c>
      <c r="AI16" s="25" t="s">
        <v>84</v>
      </c>
      <c r="AJ16" s="25" t="s">
        <v>83</v>
      </c>
      <c r="AK16" s="25" t="s">
        <v>84</v>
      </c>
      <c r="AL16" s="25" t="s">
        <v>83</v>
      </c>
      <c r="AM16" s="25" t="s">
        <v>84</v>
      </c>
      <c r="AN16" s="25" t="s">
        <v>83</v>
      </c>
      <c r="AO16" s="25" t="s">
        <v>84</v>
      </c>
      <c r="AP16" s="25" t="s">
        <v>83</v>
      </c>
      <c r="AQ16" s="25" t="s">
        <v>84</v>
      </c>
      <c r="AR16" s="25" t="s">
        <v>83</v>
      </c>
      <c r="AS16" s="25" t="s">
        <v>84</v>
      </c>
    </row>
    <row r="17" spans="1:45">
      <c r="A17" s="25">
        <v>1</v>
      </c>
      <c r="B17" s="25">
        <v>2</v>
      </c>
      <c r="C17" s="25">
        <v>3</v>
      </c>
      <c r="D17" s="19">
        <v>43104</v>
      </c>
      <c r="E17" s="19">
        <v>43135</v>
      </c>
      <c r="F17" s="19">
        <v>43163</v>
      </c>
      <c r="G17" s="19">
        <v>43194</v>
      </c>
      <c r="H17" s="25" t="s">
        <v>85</v>
      </c>
      <c r="I17" s="25" t="s">
        <v>86</v>
      </c>
      <c r="J17" s="19">
        <v>43105</v>
      </c>
      <c r="K17" s="19">
        <v>43136</v>
      </c>
      <c r="L17" s="19">
        <v>43164</v>
      </c>
      <c r="M17" s="19">
        <v>43195</v>
      </c>
      <c r="N17" s="25" t="s">
        <v>87</v>
      </c>
      <c r="O17" s="25" t="s">
        <v>87</v>
      </c>
      <c r="P17" s="19">
        <v>43106</v>
      </c>
      <c r="Q17" s="19">
        <v>43137</v>
      </c>
      <c r="R17" s="19">
        <v>43165</v>
      </c>
      <c r="S17" s="19">
        <v>43196</v>
      </c>
      <c r="T17" s="25" t="s">
        <v>88</v>
      </c>
      <c r="U17" s="25" t="s">
        <v>89</v>
      </c>
      <c r="V17" s="19">
        <v>43107</v>
      </c>
      <c r="W17" s="19">
        <v>43138</v>
      </c>
      <c r="X17" s="19">
        <v>43166</v>
      </c>
      <c r="Y17" s="19">
        <v>43197</v>
      </c>
      <c r="Z17" s="25" t="s">
        <v>90</v>
      </c>
      <c r="AA17" s="25" t="s">
        <v>90</v>
      </c>
      <c r="AB17" s="19">
        <v>43108</v>
      </c>
      <c r="AC17" s="19">
        <v>43139</v>
      </c>
      <c r="AD17" s="19">
        <v>43167</v>
      </c>
      <c r="AE17" s="19">
        <v>43198</v>
      </c>
      <c r="AF17" s="25" t="s">
        <v>91</v>
      </c>
      <c r="AG17" s="25" t="s">
        <v>91</v>
      </c>
      <c r="AH17" s="19">
        <v>43109</v>
      </c>
      <c r="AI17" s="19">
        <v>43140</v>
      </c>
      <c r="AJ17" s="19">
        <v>43168</v>
      </c>
      <c r="AK17" s="19">
        <v>43199</v>
      </c>
      <c r="AL17" s="25" t="s">
        <v>92</v>
      </c>
      <c r="AM17" s="25" t="s">
        <v>92</v>
      </c>
      <c r="AN17" s="19">
        <v>43110</v>
      </c>
      <c r="AO17" s="19">
        <v>43141</v>
      </c>
      <c r="AP17" s="19">
        <v>43169</v>
      </c>
      <c r="AQ17" s="19">
        <v>43200</v>
      </c>
      <c r="AR17" s="25" t="s">
        <v>93</v>
      </c>
      <c r="AS17" s="25" t="s">
        <v>94</v>
      </c>
    </row>
    <row r="18" spans="1:45" ht="76.5" customHeight="1">
      <c r="A18" s="34">
        <v>1</v>
      </c>
      <c r="B18" s="31" t="s">
        <v>281</v>
      </c>
      <c r="C18" s="38" t="s">
        <v>272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60" customHeight="1">
      <c r="A19" s="34">
        <v>2</v>
      </c>
      <c r="B19" s="31" t="s">
        <v>282</v>
      </c>
      <c r="C19" s="38" t="s">
        <v>273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</sheetData>
  <mergeCells count="34">
    <mergeCell ref="J15:K15"/>
    <mergeCell ref="AH14:AM14"/>
    <mergeCell ref="AG15:AI15"/>
    <mergeCell ref="AK15:AM15"/>
    <mergeCell ref="L15:M15"/>
    <mergeCell ref="P14:U14"/>
    <mergeCell ref="V14:AA14"/>
    <mergeCell ref="AB14:AG14"/>
    <mergeCell ref="A11:T11"/>
    <mergeCell ref="AP1:AS1"/>
    <mergeCell ref="AP2:AS2"/>
    <mergeCell ref="AP3:AS3"/>
    <mergeCell ref="A6:T6"/>
    <mergeCell ref="A7:T7"/>
    <mergeCell ref="A8:T8"/>
    <mergeCell ref="A9:T9"/>
    <mergeCell ref="A10:T10"/>
    <mergeCell ref="A5:AS5"/>
    <mergeCell ref="A13:A16"/>
    <mergeCell ref="B13:B16"/>
    <mergeCell ref="C13:C16"/>
    <mergeCell ref="D13:AS13"/>
    <mergeCell ref="D14:I14"/>
    <mergeCell ref="D15:E15"/>
    <mergeCell ref="F15:G15"/>
    <mergeCell ref="H15:I15"/>
    <mergeCell ref="AN14:AS14"/>
    <mergeCell ref="N15:O15"/>
    <mergeCell ref="AO15:AQ15"/>
    <mergeCell ref="Y15:AA15"/>
    <mergeCell ref="AC15:AE15"/>
    <mergeCell ref="Q15:S15"/>
    <mergeCell ref="U15:W15"/>
    <mergeCell ref="J14:O1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10" sqref="A10:M10"/>
    </sheetView>
  </sheetViews>
  <sheetFormatPr defaultRowHeight="15"/>
  <cols>
    <col min="1" max="1" width="12" customWidth="1"/>
    <col min="2" max="2" width="38.7109375" customWidth="1"/>
    <col min="3" max="3" width="16.7109375" customWidth="1"/>
    <col min="4" max="4" width="18.85546875" customWidth="1"/>
    <col min="5" max="5" width="32.5703125" customWidth="1"/>
    <col min="6" max="6" width="13.85546875" customWidth="1"/>
    <col min="7" max="7" width="13.28515625" customWidth="1"/>
    <col min="8" max="8" width="12.5703125" customWidth="1"/>
    <col min="9" max="9" width="14.28515625" customWidth="1"/>
    <col min="10" max="10" width="9" customWidth="1"/>
    <col min="11" max="11" width="9.42578125" customWidth="1"/>
    <col min="12" max="12" width="11.28515625" customWidth="1"/>
    <col min="13" max="13" width="13.140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4" width="7.140625" customWidth="1"/>
    <col min="25" max="25" width="5.140625" customWidth="1"/>
    <col min="26" max="26" width="8.140625" customWidth="1"/>
  </cols>
  <sheetData>
    <row r="1" spans="1:27" ht="15" customHeight="1">
      <c r="A1" s="1"/>
      <c r="K1" s="362" t="s">
        <v>95</v>
      </c>
      <c r="L1" s="362"/>
      <c r="M1" s="362"/>
    </row>
    <row r="2" spans="1:27" ht="18.75" customHeight="1">
      <c r="A2" s="1"/>
      <c r="K2" s="362" t="s">
        <v>19</v>
      </c>
      <c r="L2" s="362"/>
      <c r="M2" s="362"/>
    </row>
    <row r="3" spans="1:27" ht="13.5" customHeight="1">
      <c r="A3" s="1"/>
      <c r="K3" s="362" t="s">
        <v>20</v>
      </c>
      <c r="L3" s="362"/>
      <c r="M3" s="362"/>
    </row>
    <row r="4" spans="1:27" ht="35.25" customHeight="1">
      <c r="A4" s="347" t="s">
        <v>96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27" ht="14.25" customHeight="1">
      <c r="A5" s="347" t="s">
        <v>97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27" ht="16.5" customHeight="1">
      <c r="A6" s="347" t="s">
        <v>283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8.75" customHeight="1">
      <c r="A7" s="347" t="s">
        <v>274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348" t="s">
        <v>21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23.25" customHeight="1">
      <c r="A9" s="347" t="s">
        <v>275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20.25" customHeight="1">
      <c r="A10" s="347" t="s">
        <v>309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8.75" customHeight="1">
      <c r="A11" s="348" t="s">
        <v>63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27" ht="62.25" customHeight="1">
      <c r="A13" s="357" t="s">
        <v>0</v>
      </c>
      <c r="B13" s="357" t="s">
        <v>1</v>
      </c>
      <c r="C13" s="357" t="s">
        <v>2</v>
      </c>
      <c r="D13" s="357" t="s">
        <v>98</v>
      </c>
      <c r="E13" s="357" t="s">
        <v>99</v>
      </c>
      <c r="F13" s="357" t="s">
        <v>100</v>
      </c>
      <c r="G13" s="357"/>
      <c r="H13" s="357" t="s">
        <v>101</v>
      </c>
      <c r="I13" s="357"/>
      <c r="J13" s="357" t="s">
        <v>102</v>
      </c>
      <c r="K13" s="357"/>
      <c r="L13" s="357" t="s">
        <v>103</v>
      </c>
      <c r="M13" s="357"/>
    </row>
    <row r="14" spans="1:27" ht="85.5">
      <c r="A14" s="357"/>
      <c r="B14" s="357"/>
      <c r="C14" s="357"/>
      <c r="D14" s="357"/>
      <c r="E14" s="357"/>
      <c r="F14" s="34" t="s">
        <v>288</v>
      </c>
      <c r="G14" s="34" t="s">
        <v>289</v>
      </c>
      <c r="H14" s="34" t="s">
        <v>290</v>
      </c>
      <c r="I14" s="34" t="s">
        <v>291</v>
      </c>
      <c r="J14" s="34" t="s">
        <v>287</v>
      </c>
      <c r="K14" s="34" t="s">
        <v>292</v>
      </c>
      <c r="L14" s="34" t="s">
        <v>287</v>
      </c>
      <c r="M14" s="34" t="s">
        <v>293</v>
      </c>
    </row>
    <row r="15" spans="1:27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</row>
    <row r="16" spans="1:27" ht="96" customHeight="1">
      <c r="A16" s="34">
        <v>1</v>
      </c>
      <c r="B16" s="31" t="s">
        <v>281</v>
      </c>
      <c r="C16" s="38" t="s">
        <v>272</v>
      </c>
      <c r="D16" s="35" t="s">
        <v>16</v>
      </c>
      <c r="E16" s="35" t="s">
        <v>16</v>
      </c>
      <c r="F16" s="35" t="s">
        <v>16</v>
      </c>
      <c r="G16" s="35" t="s">
        <v>16</v>
      </c>
      <c r="H16" s="35" t="s">
        <v>16</v>
      </c>
      <c r="I16" s="35" t="s">
        <v>16</v>
      </c>
      <c r="J16" s="35" t="s">
        <v>16</v>
      </c>
      <c r="K16" s="35" t="s">
        <v>16</v>
      </c>
      <c r="L16" s="35" t="s">
        <v>16</v>
      </c>
      <c r="M16" s="35" t="s">
        <v>16</v>
      </c>
    </row>
    <row r="17" spans="1:13" ht="72.75" customHeight="1">
      <c r="A17" s="34">
        <v>2</v>
      </c>
      <c r="B17" s="31" t="s">
        <v>282</v>
      </c>
      <c r="C17" s="38" t="s">
        <v>273</v>
      </c>
      <c r="D17" s="35" t="s">
        <v>16</v>
      </c>
      <c r="E17" s="35" t="s">
        <v>16</v>
      </c>
      <c r="F17" s="35" t="s">
        <v>16</v>
      </c>
      <c r="G17" s="35" t="s">
        <v>16</v>
      </c>
      <c r="H17" s="35" t="s">
        <v>16</v>
      </c>
      <c r="I17" s="35" t="s">
        <v>16</v>
      </c>
      <c r="J17" s="35" t="s">
        <v>16</v>
      </c>
      <c r="K17" s="35" t="s">
        <v>16</v>
      </c>
      <c r="L17" s="35" t="s">
        <v>16</v>
      </c>
      <c r="M17" s="35" t="s">
        <v>16</v>
      </c>
    </row>
    <row r="18" spans="1:1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>
      <c r="A19" s="364" t="s">
        <v>31</v>
      </c>
      <c r="B19" s="364"/>
      <c r="C19" s="364"/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</row>
    <row r="20" spans="1:13" ht="171.75" customHeight="1">
      <c r="A20" s="348" t="s">
        <v>32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</row>
    <row r="21" spans="1:13">
      <c r="A21" s="2"/>
    </row>
    <row r="22" spans="1:13">
      <c r="A22" s="2"/>
    </row>
  </sheetData>
  <mergeCells count="22">
    <mergeCell ref="A19:C19"/>
    <mergeCell ref="L13:M13"/>
    <mergeCell ref="A7:M7"/>
    <mergeCell ref="A6:M6"/>
    <mergeCell ref="A5:M5"/>
    <mergeCell ref="J13:K13"/>
    <mergeCell ref="A4:M4"/>
    <mergeCell ref="K1:M1"/>
    <mergeCell ref="K2:M2"/>
    <mergeCell ref="K3:M3"/>
    <mergeCell ref="A20:M20"/>
    <mergeCell ref="A11:M11"/>
    <mergeCell ref="A10:M10"/>
    <mergeCell ref="A9:M9"/>
    <mergeCell ref="A8:M8"/>
    <mergeCell ref="A13:A14"/>
    <mergeCell ref="B13:B14"/>
    <mergeCell ref="C13:C14"/>
    <mergeCell ref="D13:D14"/>
    <mergeCell ref="E13:E14"/>
    <mergeCell ref="F13:G13"/>
    <mergeCell ref="H13:I13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="90" zoomScaleNormal="90" workbookViewId="0">
      <selection activeCell="R24" sqref="R24"/>
    </sheetView>
  </sheetViews>
  <sheetFormatPr defaultRowHeight="15"/>
  <cols>
    <col min="1" max="1" width="9.5703125" customWidth="1"/>
    <col min="2" max="2" width="44.42578125" customWidth="1"/>
    <col min="3" max="3" width="15" customWidth="1"/>
    <col min="4" max="4" width="14.7109375" customWidth="1"/>
    <col min="5" max="5" width="14.28515625" customWidth="1"/>
    <col min="6" max="6" width="15.85546875" customWidth="1"/>
    <col min="12" max="12" width="9.5703125" bestFit="1" customWidth="1"/>
    <col min="17" max="17" width="16.140625" customWidth="1"/>
    <col min="18" max="18" width="12.85546875" customWidth="1"/>
    <col min="19" max="19" width="10.28515625" customWidth="1"/>
    <col min="20" max="20" width="30.42578125" customWidth="1"/>
  </cols>
  <sheetData>
    <row r="1" spans="1:27" ht="15" customHeight="1">
      <c r="A1" s="1"/>
      <c r="R1" s="362" t="s">
        <v>150</v>
      </c>
      <c r="S1" s="362"/>
      <c r="T1" s="362"/>
    </row>
    <row r="2" spans="1:27" ht="15" customHeight="1">
      <c r="A2" s="1"/>
      <c r="R2" s="362" t="s">
        <v>19</v>
      </c>
      <c r="S2" s="362"/>
      <c r="T2" s="362"/>
    </row>
    <row r="3" spans="1:27" ht="15" customHeight="1">
      <c r="A3" s="1"/>
      <c r="R3" s="362" t="s">
        <v>20</v>
      </c>
      <c r="S3" s="362"/>
      <c r="T3" s="362"/>
    </row>
    <row r="4" spans="1:27" ht="19.5" customHeight="1">
      <c r="A4" s="347" t="s">
        <v>151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</row>
    <row r="5" spans="1:27" ht="16.5" customHeight="1">
      <c r="A5" s="347" t="s">
        <v>1135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</row>
    <row r="6" spans="1:27" ht="18.75" customHeight="1">
      <c r="A6" s="347" t="s">
        <v>274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45"/>
      <c r="V6" s="45"/>
      <c r="W6" s="45"/>
      <c r="X6" s="45"/>
      <c r="Y6" s="45"/>
      <c r="Z6" s="45"/>
      <c r="AA6" s="45"/>
    </row>
    <row r="7" spans="1:27" ht="12.75" customHeight="1">
      <c r="A7" s="348" t="s">
        <v>21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44"/>
      <c r="V7" s="44"/>
      <c r="W7" s="44"/>
      <c r="X7" s="44"/>
      <c r="Y7" s="44"/>
      <c r="Z7" s="44"/>
      <c r="AA7" s="44"/>
    </row>
    <row r="8" spans="1:27" ht="23.25" customHeight="1">
      <c r="A8" s="347" t="s">
        <v>1107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45"/>
      <c r="V8" s="45"/>
      <c r="W8" s="45"/>
      <c r="X8" s="45"/>
      <c r="Y8" s="45"/>
      <c r="Z8" s="45"/>
      <c r="AA8" s="45"/>
    </row>
    <row r="9" spans="1:27" ht="20.25" customHeight="1">
      <c r="A9" s="347" t="s">
        <v>1108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45"/>
      <c r="V9" s="45"/>
      <c r="W9" s="45"/>
      <c r="X9" s="45"/>
      <c r="Y9" s="45"/>
      <c r="Z9" s="45"/>
      <c r="AA9" s="45"/>
    </row>
    <row r="10" spans="1:27" ht="18.75" customHeight="1">
      <c r="A10" s="348" t="s">
        <v>63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44"/>
      <c r="V10" s="44"/>
      <c r="W10" s="44"/>
      <c r="X10" s="44"/>
      <c r="Y10" s="44"/>
      <c r="Z10" s="44"/>
      <c r="AA10" s="44"/>
    </row>
    <row r="11" spans="1:27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6.5" hidden="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7" ht="62.25" customHeight="1">
      <c r="A13" s="365" t="s">
        <v>0</v>
      </c>
      <c r="B13" s="365" t="s">
        <v>1</v>
      </c>
      <c r="C13" s="365" t="s">
        <v>2</v>
      </c>
      <c r="D13" s="365" t="s">
        <v>3</v>
      </c>
      <c r="E13" s="365" t="s">
        <v>1109</v>
      </c>
      <c r="F13" s="365" t="s">
        <v>1110</v>
      </c>
      <c r="G13" s="372" t="s">
        <v>1111</v>
      </c>
      <c r="H13" s="372"/>
      <c r="I13" s="372"/>
      <c r="J13" s="372"/>
      <c r="K13" s="372"/>
      <c r="L13" s="372"/>
      <c r="M13" s="372"/>
      <c r="N13" s="372"/>
      <c r="O13" s="372"/>
      <c r="P13" s="372"/>
      <c r="Q13" s="365" t="s">
        <v>152</v>
      </c>
      <c r="R13" s="372" t="s">
        <v>106</v>
      </c>
      <c r="S13" s="372"/>
      <c r="T13" s="365" t="s">
        <v>25</v>
      </c>
    </row>
    <row r="14" spans="1:27" ht="21" customHeight="1">
      <c r="A14" s="366"/>
      <c r="B14" s="366"/>
      <c r="C14" s="366"/>
      <c r="D14" s="366"/>
      <c r="E14" s="366"/>
      <c r="F14" s="366"/>
      <c r="G14" s="365" t="s">
        <v>109</v>
      </c>
      <c r="H14" s="365"/>
      <c r="I14" s="365" t="s">
        <v>110</v>
      </c>
      <c r="J14" s="365"/>
      <c r="K14" s="365" t="s">
        <v>111</v>
      </c>
      <c r="L14" s="365"/>
      <c r="M14" s="365" t="s">
        <v>112</v>
      </c>
      <c r="N14" s="365"/>
      <c r="O14" s="365" t="s">
        <v>113</v>
      </c>
      <c r="P14" s="365"/>
      <c r="Q14" s="366"/>
      <c r="R14" s="365" t="s">
        <v>14</v>
      </c>
      <c r="S14" s="370" t="s">
        <v>15</v>
      </c>
      <c r="T14" s="366"/>
      <c r="U14" s="18"/>
    </row>
    <row r="15" spans="1:27" ht="25.5" customHeight="1">
      <c r="A15" s="367"/>
      <c r="B15" s="367"/>
      <c r="C15" s="367"/>
      <c r="D15" s="367"/>
      <c r="E15" s="367"/>
      <c r="F15" s="368"/>
      <c r="G15" s="41" t="s">
        <v>6</v>
      </c>
      <c r="H15" s="41" t="s">
        <v>7</v>
      </c>
      <c r="I15" s="41" t="s">
        <v>6</v>
      </c>
      <c r="J15" s="41" t="s">
        <v>7</v>
      </c>
      <c r="K15" s="41" t="s">
        <v>6</v>
      </c>
      <c r="L15" s="41" t="s">
        <v>7</v>
      </c>
      <c r="M15" s="41" t="s">
        <v>6</v>
      </c>
      <c r="N15" s="41" t="s">
        <v>7</v>
      </c>
      <c r="O15" s="41" t="s">
        <v>6</v>
      </c>
      <c r="P15" s="41" t="s">
        <v>7</v>
      </c>
      <c r="Q15" s="369"/>
      <c r="R15" s="367"/>
      <c r="S15" s="371"/>
      <c r="T15" s="367"/>
      <c r="U15" s="28"/>
    </row>
    <row r="16" spans="1:27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4">
        <v>17</v>
      </c>
      <c r="R16" s="24">
        <v>18</v>
      </c>
      <c r="S16" s="24">
        <v>19</v>
      </c>
      <c r="T16" s="24">
        <v>20</v>
      </c>
    </row>
    <row r="17" spans="1:20" ht="27" customHeight="1">
      <c r="A17" s="83" t="s">
        <v>384</v>
      </c>
      <c r="B17" s="84" t="s">
        <v>31</v>
      </c>
      <c r="C17" s="100" t="s">
        <v>385</v>
      </c>
      <c r="D17" s="119">
        <f>D18+D19+D20+D21+D22+D23</f>
        <v>13.340000000000002</v>
      </c>
      <c r="E17" s="55">
        <f>E18+E19+E20+E21+E22+E23</f>
        <v>0</v>
      </c>
      <c r="F17" s="119">
        <f>F18+F19+F20+F21+F22+F23</f>
        <v>13.340000000000002</v>
      </c>
      <c r="G17" s="119">
        <f t="shared" ref="G17:P17" si="0">G18+G19+G20+G21+G22+G23</f>
        <v>13.34</v>
      </c>
      <c r="H17" s="55">
        <f t="shared" si="0"/>
        <v>6.8989999999999991</v>
      </c>
      <c r="I17" s="55">
        <f t="shared" si="0"/>
        <v>4.0009999999999994</v>
      </c>
      <c r="J17" s="55">
        <f t="shared" si="0"/>
        <v>1.5450000000000002</v>
      </c>
      <c r="K17" s="55">
        <f t="shared" si="0"/>
        <v>5.3360000000000003</v>
      </c>
      <c r="L17" s="55">
        <f t="shared" si="0"/>
        <v>5.3539999999999992</v>
      </c>
      <c r="M17" s="55">
        <f t="shared" si="0"/>
        <v>2.6680000000000001</v>
      </c>
      <c r="N17" s="55">
        <f t="shared" si="0"/>
        <v>0</v>
      </c>
      <c r="O17" s="55">
        <f t="shared" si="0"/>
        <v>1.335</v>
      </c>
      <c r="P17" s="55">
        <f t="shared" si="0"/>
        <v>0</v>
      </c>
      <c r="Q17" s="5">
        <f>(I17+K17)-(J17+L17)</f>
        <v>2.4380000000000006</v>
      </c>
      <c r="R17" s="5">
        <f>(J17+L17)-(I17+K17)</f>
        <v>-2.4380000000000006</v>
      </c>
      <c r="S17" s="116">
        <f>R17/(I17+K17)*100</f>
        <v>-26.111170611545472</v>
      </c>
      <c r="T17" s="344" t="s">
        <v>385</v>
      </c>
    </row>
    <row r="18" spans="1:20" ht="21.75" customHeight="1">
      <c r="A18" s="85" t="s">
        <v>386</v>
      </c>
      <c r="B18" s="86" t="s">
        <v>387</v>
      </c>
      <c r="C18" s="101" t="s">
        <v>385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44" t="s">
        <v>385</v>
      </c>
    </row>
    <row r="19" spans="1:20" s="54" customFormat="1" ht="33" customHeight="1">
      <c r="A19" s="87" t="s">
        <v>388</v>
      </c>
      <c r="B19" s="88" t="s">
        <v>389</v>
      </c>
      <c r="C19" s="101" t="s">
        <v>385</v>
      </c>
      <c r="D19" s="55">
        <f>D25</f>
        <v>9.5040000000000013</v>
      </c>
      <c r="E19" s="55">
        <f>E25</f>
        <v>0</v>
      </c>
      <c r="F19" s="55">
        <f>F25</f>
        <v>9.5040000000000013</v>
      </c>
      <c r="G19" s="55">
        <f t="shared" ref="G19:P19" si="1">G25</f>
        <v>9.5039999999999996</v>
      </c>
      <c r="H19" s="55">
        <f t="shared" si="1"/>
        <v>4.7629999999999999</v>
      </c>
      <c r="I19" s="55">
        <f t="shared" si="1"/>
        <v>2.8499999999999996</v>
      </c>
      <c r="J19" s="55">
        <f t="shared" si="1"/>
        <v>1.4550000000000001</v>
      </c>
      <c r="K19" s="55">
        <f t="shared" si="1"/>
        <v>3.8020000000000005</v>
      </c>
      <c r="L19" s="55">
        <f t="shared" si="1"/>
        <v>3.3079999999999998</v>
      </c>
      <c r="M19" s="55">
        <f t="shared" si="1"/>
        <v>1.9010000000000002</v>
      </c>
      <c r="N19" s="55">
        <f t="shared" si="1"/>
        <v>0</v>
      </c>
      <c r="O19" s="55">
        <f t="shared" si="1"/>
        <v>0.95100000000000007</v>
      </c>
      <c r="P19" s="55">
        <f t="shared" si="1"/>
        <v>0</v>
      </c>
      <c r="Q19" s="5">
        <f>(I19+K19)-(J19+L19)</f>
        <v>1.8890000000000002</v>
      </c>
      <c r="R19" s="5">
        <f t="shared" ref="R19:R43" si="2">(J19+L19)-(I19+K19)</f>
        <v>-1.8890000000000002</v>
      </c>
      <c r="S19" s="116">
        <f t="shared" ref="S19:S42" si="3">R19/(I19+K19)*100</f>
        <v>-28.397474443776311</v>
      </c>
      <c r="T19" s="344" t="s">
        <v>385</v>
      </c>
    </row>
    <row r="20" spans="1:20" ht="45" customHeight="1">
      <c r="A20" s="87" t="s">
        <v>390</v>
      </c>
      <c r="B20" s="88" t="s">
        <v>391</v>
      </c>
      <c r="C20" s="101" t="s">
        <v>385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2"/>
        <v>0</v>
      </c>
      <c r="S20" s="116">
        <v>0</v>
      </c>
      <c r="T20" s="344" t="s">
        <v>385</v>
      </c>
    </row>
    <row r="21" spans="1:20" ht="30">
      <c r="A21" s="87" t="s">
        <v>392</v>
      </c>
      <c r="B21" s="86" t="s">
        <v>393</v>
      </c>
      <c r="C21" s="101" t="s">
        <v>385</v>
      </c>
      <c r="D21" s="5">
        <f>D39</f>
        <v>3.8359999999999999</v>
      </c>
      <c r="E21" s="5">
        <f>E39</f>
        <v>0</v>
      </c>
      <c r="F21" s="5">
        <f>F39</f>
        <v>3.8359999999999999</v>
      </c>
      <c r="G21" s="5">
        <f t="shared" ref="G21:P21" si="4">G39</f>
        <v>3.8359999999999999</v>
      </c>
      <c r="H21" s="5">
        <f t="shared" si="4"/>
        <v>2.1359999999999997</v>
      </c>
      <c r="I21" s="5">
        <f t="shared" si="4"/>
        <v>1.151</v>
      </c>
      <c r="J21" s="106">
        <f t="shared" si="4"/>
        <v>0.09</v>
      </c>
      <c r="K21" s="5">
        <f t="shared" si="4"/>
        <v>1.534</v>
      </c>
      <c r="L21" s="5">
        <f t="shared" si="4"/>
        <v>2.0459999999999998</v>
      </c>
      <c r="M21" s="5">
        <f t="shared" si="4"/>
        <v>0.76700000000000002</v>
      </c>
      <c r="N21" s="5">
        <f t="shared" si="4"/>
        <v>0</v>
      </c>
      <c r="O21" s="5">
        <f t="shared" si="4"/>
        <v>0.38400000000000001</v>
      </c>
      <c r="P21" s="5">
        <f t="shared" si="4"/>
        <v>0</v>
      </c>
      <c r="Q21" s="5">
        <f>(I21+K21)-(J21+L21)</f>
        <v>0.54900000000000038</v>
      </c>
      <c r="R21" s="5">
        <f t="shared" si="2"/>
        <v>-0.54900000000000038</v>
      </c>
      <c r="S21" s="116">
        <f t="shared" si="3"/>
        <v>-20.446927374301691</v>
      </c>
      <c r="T21" s="344" t="s">
        <v>385</v>
      </c>
    </row>
    <row r="22" spans="1:20" ht="30">
      <c r="A22" s="87" t="s">
        <v>394</v>
      </c>
      <c r="B22" s="86" t="s">
        <v>395</v>
      </c>
      <c r="C22" s="101" t="s">
        <v>385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f t="shared" ref="Q22:Q30" si="5">(I22+K22)-(J22+L22)</f>
        <v>0</v>
      </c>
      <c r="R22" s="5">
        <f t="shared" si="2"/>
        <v>0</v>
      </c>
      <c r="S22" s="116">
        <v>0</v>
      </c>
      <c r="T22" s="344" t="s">
        <v>385</v>
      </c>
    </row>
    <row r="23" spans="1:20" ht="15.75">
      <c r="A23" s="87" t="s">
        <v>396</v>
      </c>
      <c r="B23" s="86" t="s">
        <v>397</v>
      </c>
      <c r="C23" s="101" t="s">
        <v>385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t="shared" si="5"/>
        <v>0</v>
      </c>
      <c r="R23" s="5">
        <f t="shared" si="2"/>
        <v>0</v>
      </c>
      <c r="S23" s="116">
        <v>0</v>
      </c>
      <c r="T23" s="344" t="s">
        <v>385</v>
      </c>
    </row>
    <row r="24" spans="1:20" ht="15.75">
      <c r="A24" s="89" t="s">
        <v>398</v>
      </c>
      <c r="B24" s="90" t="s">
        <v>399</v>
      </c>
      <c r="C24" s="101" t="s">
        <v>385</v>
      </c>
      <c r="D24" s="5">
        <f>D25+D39</f>
        <v>13.340000000000002</v>
      </c>
      <c r="E24" s="5">
        <f>E25+E39</f>
        <v>0</v>
      </c>
      <c r="F24" s="5">
        <f>F25+F39</f>
        <v>13.340000000000002</v>
      </c>
      <c r="G24" s="5">
        <f t="shared" ref="G24:P24" si="6">G25+G39</f>
        <v>13.34</v>
      </c>
      <c r="H24" s="5">
        <f t="shared" si="6"/>
        <v>6.8989999999999991</v>
      </c>
      <c r="I24" s="5">
        <f t="shared" si="6"/>
        <v>4.0009999999999994</v>
      </c>
      <c r="J24" s="5">
        <f t="shared" si="6"/>
        <v>1.5450000000000002</v>
      </c>
      <c r="K24" s="5">
        <f t="shared" si="6"/>
        <v>5.3360000000000003</v>
      </c>
      <c r="L24" s="5">
        <f t="shared" si="6"/>
        <v>5.3539999999999992</v>
      </c>
      <c r="M24" s="5">
        <f t="shared" si="6"/>
        <v>2.6680000000000001</v>
      </c>
      <c r="N24" s="5">
        <f t="shared" si="6"/>
        <v>0</v>
      </c>
      <c r="O24" s="5">
        <f t="shared" si="6"/>
        <v>1.335</v>
      </c>
      <c r="P24" s="5">
        <f t="shared" si="6"/>
        <v>0</v>
      </c>
      <c r="Q24" s="5">
        <f t="shared" si="5"/>
        <v>2.4380000000000006</v>
      </c>
      <c r="R24" s="5">
        <f t="shared" si="2"/>
        <v>-2.4380000000000006</v>
      </c>
      <c r="S24" s="116">
        <f t="shared" si="3"/>
        <v>-26.111170611545472</v>
      </c>
      <c r="T24" s="344" t="s">
        <v>385</v>
      </c>
    </row>
    <row r="25" spans="1:20" ht="42.75">
      <c r="A25" s="89" t="s">
        <v>400</v>
      </c>
      <c r="B25" s="90" t="s">
        <v>401</v>
      </c>
      <c r="C25" s="101" t="s">
        <v>385</v>
      </c>
      <c r="D25" s="5">
        <f>D26+D28+D35</f>
        <v>9.5040000000000013</v>
      </c>
      <c r="E25" s="5">
        <f>E26+E28+E35</f>
        <v>0</v>
      </c>
      <c r="F25" s="5">
        <f>F26+F28+F35</f>
        <v>9.5040000000000013</v>
      </c>
      <c r="G25" s="5">
        <f t="shared" ref="G25:P25" si="7">G26+G28+G35</f>
        <v>9.5039999999999996</v>
      </c>
      <c r="H25" s="5">
        <f t="shared" si="7"/>
        <v>4.7629999999999999</v>
      </c>
      <c r="I25" s="5">
        <f t="shared" si="7"/>
        <v>2.8499999999999996</v>
      </c>
      <c r="J25" s="5">
        <f t="shared" si="7"/>
        <v>1.4550000000000001</v>
      </c>
      <c r="K25" s="5">
        <f t="shared" si="7"/>
        <v>3.8020000000000005</v>
      </c>
      <c r="L25" s="5">
        <f t="shared" si="7"/>
        <v>3.3079999999999998</v>
      </c>
      <c r="M25" s="5">
        <f t="shared" si="7"/>
        <v>1.9010000000000002</v>
      </c>
      <c r="N25" s="5">
        <f t="shared" si="7"/>
        <v>0</v>
      </c>
      <c r="O25" s="5">
        <f t="shared" si="7"/>
        <v>0.95100000000000007</v>
      </c>
      <c r="P25" s="5">
        <f t="shared" si="7"/>
        <v>0</v>
      </c>
      <c r="Q25" s="5">
        <f t="shared" si="5"/>
        <v>1.8890000000000002</v>
      </c>
      <c r="R25" s="5">
        <f t="shared" si="2"/>
        <v>-1.8890000000000002</v>
      </c>
      <c r="S25" s="116">
        <f t="shared" si="3"/>
        <v>-28.397474443776311</v>
      </c>
      <c r="T25" s="344" t="s">
        <v>385</v>
      </c>
    </row>
    <row r="26" spans="1:20" ht="60">
      <c r="A26" s="89" t="s">
        <v>402</v>
      </c>
      <c r="B26" s="86" t="s">
        <v>403</v>
      </c>
      <c r="C26" s="101" t="s">
        <v>385</v>
      </c>
      <c r="D26" s="5">
        <f>D27</f>
        <v>0</v>
      </c>
      <c r="E26" s="5">
        <f>E27</f>
        <v>0</v>
      </c>
      <c r="F26" s="5">
        <f>F27</f>
        <v>0</v>
      </c>
      <c r="G26" s="5">
        <f t="shared" ref="G26:P26" si="8">G27</f>
        <v>0</v>
      </c>
      <c r="H26" s="5">
        <f t="shared" si="8"/>
        <v>0</v>
      </c>
      <c r="I26" s="5">
        <f t="shared" si="8"/>
        <v>0</v>
      </c>
      <c r="J26" s="5">
        <f t="shared" si="8"/>
        <v>0</v>
      </c>
      <c r="K26" s="5">
        <f t="shared" si="8"/>
        <v>0</v>
      </c>
      <c r="L26" s="5">
        <f t="shared" si="8"/>
        <v>0</v>
      </c>
      <c r="M26" s="5">
        <f t="shared" si="8"/>
        <v>0</v>
      </c>
      <c r="N26" s="5">
        <f t="shared" si="8"/>
        <v>0</v>
      </c>
      <c r="O26" s="5">
        <f t="shared" si="8"/>
        <v>0</v>
      </c>
      <c r="P26" s="5">
        <f t="shared" si="8"/>
        <v>0</v>
      </c>
      <c r="Q26" s="5">
        <f t="shared" si="5"/>
        <v>0</v>
      </c>
      <c r="R26" s="5">
        <f t="shared" si="2"/>
        <v>0</v>
      </c>
      <c r="S26" s="116">
        <v>0</v>
      </c>
      <c r="T26" s="344" t="s">
        <v>385</v>
      </c>
    </row>
    <row r="27" spans="1:20" ht="30">
      <c r="A27" s="87" t="s">
        <v>404</v>
      </c>
      <c r="B27" s="86" t="s">
        <v>405</v>
      </c>
      <c r="C27" s="101" t="s">
        <v>385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f t="shared" si="5"/>
        <v>0</v>
      </c>
      <c r="R27" s="5">
        <f t="shared" si="2"/>
        <v>0</v>
      </c>
      <c r="S27" s="116">
        <v>0</v>
      </c>
      <c r="T27" s="344" t="s">
        <v>385</v>
      </c>
    </row>
    <row r="28" spans="1:20" ht="45">
      <c r="A28" s="89" t="s">
        <v>406</v>
      </c>
      <c r="B28" s="86" t="s">
        <v>407</v>
      </c>
      <c r="C28" s="101" t="s">
        <v>385</v>
      </c>
      <c r="D28" s="106">
        <f>D29+D33</f>
        <v>7.4050000000000002</v>
      </c>
      <c r="E28" s="5">
        <f>E29+E33</f>
        <v>0</v>
      </c>
      <c r="F28" s="5">
        <f>F29+F33</f>
        <v>7.4050000000000002</v>
      </c>
      <c r="G28" s="5">
        <f t="shared" ref="G28:P28" si="9">G29+G33</f>
        <v>7.4049999999999994</v>
      </c>
      <c r="H28" s="106">
        <f>H29+H33</f>
        <v>3.109</v>
      </c>
      <c r="I28" s="106">
        <f t="shared" si="9"/>
        <v>2.2199999999999998</v>
      </c>
      <c r="J28" s="5">
        <f t="shared" si="9"/>
        <v>1.4550000000000001</v>
      </c>
      <c r="K28" s="5">
        <f t="shared" si="9"/>
        <v>2.9620000000000002</v>
      </c>
      <c r="L28" s="5">
        <f t="shared" si="9"/>
        <v>1.6539999999999999</v>
      </c>
      <c r="M28" s="5">
        <f t="shared" si="9"/>
        <v>1.4810000000000001</v>
      </c>
      <c r="N28" s="5">
        <f t="shared" si="9"/>
        <v>0</v>
      </c>
      <c r="O28" s="5">
        <f t="shared" si="9"/>
        <v>0.74199999999999999</v>
      </c>
      <c r="P28" s="5">
        <f t="shared" si="9"/>
        <v>0</v>
      </c>
      <c r="Q28" s="5">
        <f t="shared" si="5"/>
        <v>2.0730000000000004</v>
      </c>
      <c r="R28" s="5">
        <f t="shared" si="2"/>
        <v>-2.0730000000000004</v>
      </c>
      <c r="S28" s="116">
        <f t="shared" si="3"/>
        <v>-40.003859513701279</v>
      </c>
      <c r="T28" s="344" t="s">
        <v>385</v>
      </c>
    </row>
    <row r="29" spans="1:20" ht="30">
      <c r="A29" s="87" t="s">
        <v>408</v>
      </c>
      <c r="B29" s="86" t="s">
        <v>409</v>
      </c>
      <c r="C29" s="101" t="s">
        <v>385</v>
      </c>
      <c r="D29" s="106">
        <f>D31+D32+D30</f>
        <v>6.8360000000000003</v>
      </c>
      <c r="E29" s="106">
        <f t="shared" ref="E29:F29" si="10">E31+E32+E30</f>
        <v>0</v>
      </c>
      <c r="F29" s="106">
        <f t="shared" si="10"/>
        <v>6.8360000000000003</v>
      </c>
      <c r="G29" s="106">
        <f t="shared" ref="G29" si="11">G31+G32+G30</f>
        <v>6.8359999999999994</v>
      </c>
      <c r="H29" s="106">
        <f t="shared" ref="H29" si="12">H31+H32+H30</f>
        <v>2.8740000000000001</v>
      </c>
      <c r="I29" s="106">
        <f t="shared" ref="I29" si="13">I31+I32+I30</f>
        <v>2.0499999999999998</v>
      </c>
      <c r="J29" s="106">
        <f t="shared" ref="J29" si="14">J31+J32+J30</f>
        <v>1.331</v>
      </c>
      <c r="K29" s="106">
        <f t="shared" ref="K29" si="15">K31+K32+K30</f>
        <v>2.734</v>
      </c>
      <c r="L29" s="106">
        <f t="shared" ref="L29" si="16">L31+L32+L30</f>
        <v>1.5429999999999999</v>
      </c>
      <c r="M29" s="106">
        <f t="shared" ref="M29" si="17">M31+M32+M30</f>
        <v>1.367</v>
      </c>
      <c r="N29" s="106">
        <f t="shared" ref="N29" si="18">N31+N32+N30</f>
        <v>0</v>
      </c>
      <c r="O29" s="106">
        <f t="shared" ref="O29" si="19">O31+O32+O30</f>
        <v>0.68499999999999994</v>
      </c>
      <c r="P29" s="106">
        <f t="shared" ref="P29" si="20">P31+P32+P30</f>
        <v>0</v>
      </c>
      <c r="Q29" s="5">
        <f t="shared" si="5"/>
        <v>1.9100000000000001</v>
      </c>
      <c r="R29" s="5">
        <f t="shared" si="2"/>
        <v>-1.9100000000000001</v>
      </c>
      <c r="S29" s="116">
        <f t="shared" si="3"/>
        <v>-39.924749163879603</v>
      </c>
      <c r="T29" s="344" t="s">
        <v>385</v>
      </c>
    </row>
    <row r="30" spans="1:20" ht="45">
      <c r="A30" s="91" t="s">
        <v>410</v>
      </c>
      <c r="B30" s="92" t="s">
        <v>411</v>
      </c>
      <c r="C30" s="102" t="s">
        <v>412</v>
      </c>
      <c r="D30" s="106">
        <v>1</v>
      </c>
      <c r="E30" s="5">
        <v>0</v>
      </c>
      <c r="F30" s="106">
        <f>D30-E30</f>
        <v>1</v>
      </c>
      <c r="G30" s="106">
        <f t="shared" ref="G30" si="21">I30+K30+M30+O30</f>
        <v>0.99999999999999989</v>
      </c>
      <c r="H30" s="5">
        <f t="shared" ref="H30" si="22">J30+L30+N30+P30</f>
        <v>6.5000000000000002E-2</v>
      </c>
      <c r="I30" s="106">
        <v>0.3</v>
      </c>
      <c r="J30" s="5">
        <v>2.8000000000000001E-2</v>
      </c>
      <c r="K30" s="106">
        <v>0.4</v>
      </c>
      <c r="L30" s="5">
        <v>3.6999999999999998E-2</v>
      </c>
      <c r="M30" s="106">
        <v>0.2</v>
      </c>
      <c r="N30" s="5">
        <v>0</v>
      </c>
      <c r="O30" s="106">
        <v>0.1</v>
      </c>
      <c r="P30" s="5">
        <v>0</v>
      </c>
      <c r="Q30" s="5">
        <f t="shared" si="5"/>
        <v>0.63500000000000001</v>
      </c>
      <c r="R30" s="5">
        <f t="shared" si="2"/>
        <v>-0.63500000000000001</v>
      </c>
      <c r="S30" s="116">
        <f t="shared" si="3"/>
        <v>-90.714285714285722</v>
      </c>
      <c r="T30" s="344" t="s">
        <v>385</v>
      </c>
    </row>
    <row r="31" spans="1:20" ht="75.75" hidden="1" customHeight="1">
      <c r="A31" s="91" t="s">
        <v>413</v>
      </c>
      <c r="B31" s="92" t="s">
        <v>414</v>
      </c>
      <c r="C31" s="102" t="s">
        <v>308</v>
      </c>
      <c r="D31" s="5">
        <v>0</v>
      </c>
      <c r="E31" s="5">
        <v>0</v>
      </c>
      <c r="F31" s="5">
        <f>D31-E31</f>
        <v>0</v>
      </c>
      <c r="G31" s="5">
        <f>I31+K31+M31+O31</f>
        <v>0</v>
      </c>
      <c r="H31" s="5">
        <f>J31+L31+N31+P31</f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f t="shared" ref="Q31" si="23">(I31)-(J31)</f>
        <v>0</v>
      </c>
      <c r="R31" s="5">
        <f t="shared" si="2"/>
        <v>0</v>
      </c>
      <c r="S31" s="116" t="e">
        <f t="shared" si="3"/>
        <v>#DIV/0!</v>
      </c>
      <c r="T31" s="344" t="s">
        <v>385</v>
      </c>
    </row>
    <row r="32" spans="1:20" ht="60">
      <c r="A32" s="91" t="s">
        <v>415</v>
      </c>
      <c r="B32" s="92" t="s">
        <v>416</v>
      </c>
      <c r="C32" s="102" t="s">
        <v>417</v>
      </c>
      <c r="D32" s="5">
        <v>5.8360000000000003</v>
      </c>
      <c r="E32" s="5">
        <v>0</v>
      </c>
      <c r="F32" s="5">
        <f>D32-E32</f>
        <v>5.8360000000000003</v>
      </c>
      <c r="G32" s="5">
        <f t="shared" ref="G32:G34" si="24">I32+K32+M32+O32</f>
        <v>5.8359999999999994</v>
      </c>
      <c r="H32" s="5">
        <f t="shared" ref="H32:H34" si="25">J32+L32+N32+P32</f>
        <v>2.8090000000000002</v>
      </c>
      <c r="I32" s="106">
        <v>1.75</v>
      </c>
      <c r="J32" s="5">
        <v>1.3029999999999999</v>
      </c>
      <c r="K32" s="5">
        <v>2.3340000000000001</v>
      </c>
      <c r="L32" s="5">
        <v>1.506</v>
      </c>
      <c r="M32" s="5">
        <v>1.167</v>
      </c>
      <c r="N32" s="5"/>
      <c r="O32" s="5">
        <v>0.58499999999999996</v>
      </c>
      <c r="P32" s="5"/>
      <c r="Q32" s="5">
        <f t="shared" ref="Q32:Q42" si="26">(I32+K32)-(J32+L32)</f>
        <v>1.2749999999999995</v>
      </c>
      <c r="R32" s="5">
        <f t="shared" si="2"/>
        <v>-1.2749999999999995</v>
      </c>
      <c r="S32" s="116">
        <f t="shared" si="3"/>
        <v>-31.21939275220371</v>
      </c>
      <c r="T32" s="344" t="s">
        <v>385</v>
      </c>
    </row>
    <row r="33" spans="1:20" ht="38.25" customHeight="1">
      <c r="A33" s="96" t="s">
        <v>418</v>
      </c>
      <c r="B33" s="105" t="s">
        <v>419</v>
      </c>
      <c r="C33" s="103" t="s">
        <v>385</v>
      </c>
      <c r="D33" s="5">
        <f>D34</f>
        <v>0.56899999999999995</v>
      </c>
      <c r="E33" s="5">
        <f>E34</f>
        <v>0</v>
      </c>
      <c r="F33" s="5">
        <f>F34</f>
        <v>0.56899999999999995</v>
      </c>
      <c r="G33" s="106">
        <f t="shared" si="24"/>
        <v>0.56900000000000006</v>
      </c>
      <c r="H33" s="5">
        <f t="shared" si="25"/>
        <v>0.23499999999999999</v>
      </c>
      <c r="I33" s="106">
        <f>I34</f>
        <v>0.17</v>
      </c>
      <c r="J33" s="5">
        <f t="shared" ref="J33:P33" si="27">J34</f>
        <v>0.124</v>
      </c>
      <c r="K33" s="5">
        <f t="shared" si="27"/>
        <v>0.22800000000000001</v>
      </c>
      <c r="L33" s="5">
        <f t="shared" si="27"/>
        <v>0.111</v>
      </c>
      <c r="M33" s="5">
        <f t="shared" si="27"/>
        <v>0.114</v>
      </c>
      <c r="N33" s="5">
        <f t="shared" si="27"/>
        <v>0</v>
      </c>
      <c r="O33" s="5">
        <f t="shared" si="27"/>
        <v>5.7000000000000002E-2</v>
      </c>
      <c r="P33" s="5">
        <f t="shared" si="27"/>
        <v>0</v>
      </c>
      <c r="Q33" s="5">
        <f t="shared" si="26"/>
        <v>0.16300000000000003</v>
      </c>
      <c r="R33" s="5">
        <f t="shared" si="2"/>
        <v>-0.16300000000000003</v>
      </c>
      <c r="S33" s="116">
        <f t="shared" si="3"/>
        <v>-40.954773869346738</v>
      </c>
      <c r="T33" s="344" t="s">
        <v>385</v>
      </c>
    </row>
    <row r="34" spans="1:20" ht="63">
      <c r="A34" s="93" t="s">
        <v>420</v>
      </c>
      <c r="B34" s="94" t="s">
        <v>421</v>
      </c>
      <c r="C34" s="103" t="s">
        <v>422</v>
      </c>
      <c r="D34" s="5">
        <v>0.56899999999999995</v>
      </c>
      <c r="E34" s="5">
        <v>0</v>
      </c>
      <c r="F34" s="5">
        <f>D34-E34</f>
        <v>0.56899999999999995</v>
      </c>
      <c r="G34" s="106">
        <f t="shared" si="24"/>
        <v>0.56900000000000006</v>
      </c>
      <c r="H34" s="5">
        <f t="shared" si="25"/>
        <v>0.23499999999999999</v>
      </c>
      <c r="I34" s="106">
        <v>0.17</v>
      </c>
      <c r="J34" s="5">
        <v>0.124</v>
      </c>
      <c r="K34" s="5">
        <v>0.22800000000000001</v>
      </c>
      <c r="L34" s="5">
        <v>0.111</v>
      </c>
      <c r="M34" s="5">
        <v>0.114</v>
      </c>
      <c r="N34" s="5"/>
      <c r="O34" s="5">
        <v>5.7000000000000002E-2</v>
      </c>
      <c r="P34" s="5"/>
      <c r="Q34" s="5">
        <f t="shared" si="26"/>
        <v>0.16300000000000003</v>
      </c>
      <c r="R34" s="5">
        <f t="shared" si="2"/>
        <v>-0.16300000000000003</v>
      </c>
      <c r="S34" s="116">
        <f t="shared" si="3"/>
        <v>-40.954773869346738</v>
      </c>
      <c r="T34" s="344" t="s">
        <v>385</v>
      </c>
    </row>
    <row r="35" spans="1:20" ht="42.75">
      <c r="A35" s="89" t="s">
        <v>423</v>
      </c>
      <c r="B35" s="95" t="s">
        <v>424</v>
      </c>
      <c r="C35" s="104" t="s">
        <v>385</v>
      </c>
      <c r="D35" s="5">
        <f t="shared" ref="D35:F35" si="28">D36</f>
        <v>2.0990000000000002</v>
      </c>
      <c r="E35" s="5">
        <f t="shared" si="28"/>
        <v>0</v>
      </c>
      <c r="F35" s="5">
        <f t="shared" si="28"/>
        <v>2.0990000000000002</v>
      </c>
      <c r="G35" s="106">
        <f t="shared" ref="G35:P35" si="29">G36</f>
        <v>2.0990000000000002</v>
      </c>
      <c r="H35" s="5">
        <f t="shared" si="29"/>
        <v>1.6540000000000001</v>
      </c>
      <c r="I35" s="106">
        <f t="shared" si="29"/>
        <v>0.63</v>
      </c>
      <c r="J35" s="5">
        <f t="shared" si="29"/>
        <v>0</v>
      </c>
      <c r="K35" s="106">
        <f t="shared" si="29"/>
        <v>0.84000000000000008</v>
      </c>
      <c r="L35" s="5">
        <f t="shared" si="29"/>
        <v>1.6540000000000001</v>
      </c>
      <c r="M35" s="106">
        <f t="shared" si="29"/>
        <v>0.42000000000000004</v>
      </c>
      <c r="N35" s="5">
        <f t="shared" si="29"/>
        <v>0</v>
      </c>
      <c r="O35" s="106">
        <f t="shared" si="29"/>
        <v>0.20900000000000002</v>
      </c>
      <c r="P35" s="5">
        <f t="shared" si="29"/>
        <v>0</v>
      </c>
      <c r="Q35" s="5">
        <f t="shared" si="26"/>
        <v>-0.18399999999999994</v>
      </c>
      <c r="R35" s="5">
        <f t="shared" si="2"/>
        <v>0.18399999999999994</v>
      </c>
      <c r="S35" s="116">
        <f t="shared" si="3"/>
        <v>12.517006802721085</v>
      </c>
      <c r="T35" s="344" t="s">
        <v>385</v>
      </c>
    </row>
    <row r="36" spans="1:20" ht="30">
      <c r="A36" s="96" t="s">
        <v>425</v>
      </c>
      <c r="B36" s="97" t="s">
        <v>426</v>
      </c>
      <c r="C36" s="104" t="s">
        <v>385</v>
      </c>
      <c r="D36" s="5">
        <f>D37+D38</f>
        <v>2.0990000000000002</v>
      </c>
      <c r="E36" s="5">
        <f t="shared" ref="E36:P36" si="30">E37+E38</f>
        <v>0</v>
      </c>
      <c r="F36" s="5">
        <f t="shared" si="30"/>
        <v>2.0990000000000002</v>
      </c>
      <c r="G36" s="106">
        <f t="shared" si="30"/>
        <v>2.0990000000000002</v>
      </c>
      <c r="H36" s="5">
        <f t="shared" si="30"/>
        <v>1.6540000000000001</v>
      </c>
      <c r="I36" s="106">
        <f t="shared" si="30"/>
        <v>0.63</v>
      </c>
      <c r="J36" s="5">
        <f t="shared" si="30"/>
        <v>0</v>
      </c>
      <c r="K36" s="106">
        <f t="shared" si="30"/>
        <v>0.84000000000000008</v>
      </c>
      <c r="L36" s="5">
        <f t="shared" si="30"/>
        <v>1.6540000000000001</v>
      </c>
      <c r="M36" s="106">
        <f t="shared" si="30"/>
        <v>0.42000000000000004</v>
      </c>
      <c r="N36" s="5">
        <f t="shared" si="30"/>
        <v>0</v>
      </c>
      <c r="O36" s="106">
        <f t="shared" si="30"/>
        <v>0.20900000000000002</v>
      </c>
      <c r="P36" s="5">
        <f t="shared" si="30"/>
        <v>0</v>
      </c>
      <c r="Q36" s="5">
        <f t="shared" si="26"/>
        <v>-0.18399999999999994</v>
      </c>
      <c r="R36" s="5">
        <f t="shared" si="2"/>
        <v>0.18399999999999994</v>
      </c>
      <c r="S36" s="116">
        <f t="shared" si="3"/>
        <v>12.517006802721085</v>
      </c>
      <c r="T36" s="344" t="s">
        <v>385</v>
      </c>
    </row>
    <row r="37" spans="1:20" ht="30">
      <c r="A37" s="87" t="s">
        <v>427</v>
      </c>
      <c r="B37" s="98" t="s">
        <v>428</v>
      </c>
      <c r="C37" s="101" t="s">
        <v>273</v>
      </c>
      <c r="D37" s="5">
        <v>1.3580000000000001</v>
      </c>
      <c r="E37" s="5">
        <v>0</v>
      </c>
      <c r="F37" s="5">
        <f>D37-E37</f>
        <v>1.3580000000000001</v>
      </c>
      <c r="G37" s="5">
        <f>I37+K37+M37+O37</f>
        <v>1.3580000000000001</v>
      </c>
      <c r="H37" s="5">
        <f>J37+L37+N37+P37</f>
        <v>1.5680000000000001</v>
      </c>
      <c r="I37" s="106">
        <v>0.40699999999999997</v>
      </c>
      <c r="J37" s="5">
        <v>0</v>
      </c>
      <c r="K37" s="5">
        <v>0.54400000000000004</v>
      </c>
      <c r="L37" s="5">
        <v>1.5680000000000001</v>
      </c>
      <c r="M37" s="5">
        <v>0.27200000000000002</v>
      </c>
      <c r="N37" s="5">
        <v>0</v>
      </c>
      <c r="O37" s="5">
        <v>0.13500000000000001</v>
      </c>
      <c r="P37" s="5">
        <v>0</v>
      </c>
      <c r="Q37" s="5">
        <f t="shared" si="26"/>
        <v>-0.61699999999999999</v>
      </c>
      <c r="R37" s="5">
        <f t="shared" si="2"/>
        <v>0.61699999999999999</v>
      </c>
      <c r="S37" s="116">
        <f t="shared" si="3"/>
        <v>64.879074658254467</v>
      </c>
      <c r="T37" s="344" t="s">
        <v>385</v>
      </c>
    </row>
    <row r="38" spans="1:20" ht="29.25" customHeight="1">
      <c r="A38" s="87" t="s">
        <v>1063</v>
      </c>
      <c r="B38" s="98" t="s">
        <v>428</v>
      </c>
      <c r="C38" s="101" t="s">
        <v>1116</v>
      </c>
      <c r="D38" s="5">
        <v>0.74099999999999999</v>
      </c>
      <c r="E38" s="5">
        <v>0</v>
      </c>
      <c r="F38" s="5">
        <f>D38-E38</f>
        <v>0.74099999999999999</v>
      </c>
      <c r="G38" s="5">
        <f>I38+K38+M38+O38</f>
        <v>0.74099999999999999</v>
      </c>
      <c r="H38" s="5">
        <f>J38+L38+N38+P38</f>
        <v>8.5999999999999993E-2</v>
      </c>
      <c r="I38" s="106">
        <v>0.223</v>
      </c>
      <c r="J38" s="5">
        <v>0</v>
      </c>
      <c r="K38" s="5">
        <v>0.29599999999999999</v>
      </c>
      <c r="L38" s="5">
        <v>8.5999999999999993E-2</v>
      </c>
      <c r="M38" s="5">
        <v>0.14799999999999999</v>
      </c>
      <c r="N38" s="5">
        <v>0</v>
      </c>
      <c r="O38" s="5">
        <v>7.3999999999999996E-2</v>
      </c>
      <c r="P38" s="5">
        <v>0</v>
      </c>
      <c r="Q38" s="5">
        <f t="shared" si="26"/>
        <v>0.43300000000000005</v>
      </c>
      <c r="R38" s="5">
        <f t="shared" si="2"/>
        <v>-0.43300000000000005</v>
      </c>
      <c r="S38" s="116">
        <f t="shared" si="3"/>
        <v>-83.429672447013488</v>
      </c>
      <c r="T38" s="344" t="s">
        <v>385</v>
      </c>
    </row>
    <row r="39" spans="1:20" ht="42.75">
      <c r="A39" s="89" t="s">
        <v>429</v>
      </c>
      <c r="B39" s="90" t="s">
        <v>430</v>
      </c>
      <c r="C39" s="101"/>
      <c r="D39" s="5">
        <f>D40+D41+D42</f>
        <v>3.8359999999999999</v>
      </c>
      <c r="E39" s="5">
        <f t="shared" ref="E39:F43" si="31">E40+E41+E42</f>
        <v>0</v>
      </c>
      <c r="F39" s="5">
        <f t="shared" si="31"/>
        <v>3.8359999999999999</v>
      </c>
      <c r="G39" s="5">
        <f t="shared" ref="G39:G43" si="32">I39+K39+M39+O39</f>
        <v>3.8359999999999999</v>
      </c>
      <c r="H39" s="5">
        <f t="shared" ref="H39:H43" si="33">J39+L39+N39+P39</f>
        <v>2.1359999999999997</v>
      </c>
      <c r="I39" s="106">
        <f t="shared" ref="I39:P39" si="34">I40+I41+I42</f>
        <v>1.151</v>
      </c>
      <c r="J39" s="106">
        <f t="shared" si="34"/>
        <v>0.09</v>
      </c>
      <c r="K39" s="5">
        <f t="shared" si="34"/>
        <v>1.534</v>
      </c>
      <c r="L39" s="5">
        <f t="shared" si="34"/>
        <v>2.0459999999999998</v>
      </c>
      <c r="M39" s="5">
        <f t="shared" si="34"/>
        <v>0.76700000000000002</v>
      </c>
      <c r="N39" s="5">
        <f t="shared" si="34"/>
        <v>0</v>
      </c>
      <c r="O39" s="5">
        <f t="shared" si="34"/>
        <v>0.38400000000000001</v>
      </c>
      <c r="P39" s="5">
        <f t="shared" si="34"/>
        <v>0</v>
      </c>
      <c r="Q39" s="5">
        <f t="shared" si="26"/>
        <v>0.54900000000000038</v>
      </c>
      <c r="R39" s="5">
        <f t="shared" si="2"/>
        <v>-0.54900000000000038</v>
      </c>
      <c r="S39" s="116">
        <f t="shared" si="3"/>
        <v>-20.446927374301691</v>
      </c>
      <c r="T39" s="344" t="s">
        <v>385</v>
      </c>
    </row>
    <row r="40" spans="1:20" ht="45">
      <c r="A40" s="91" t="s">
        <v>431</v>
      </c>
      <c r="B40" s="99" t="s">
        <v>432</v>
      </c>
      <c r="C40" s="102" t="s">
        <v>433</v>
      </c>
      <c r="D40" s="5">
        <v>0.69299999999999995</v>
      </c>
      <c r="E40" s="5">
        <f t="shared" si="31"/>
        <v>0</v>
      </c>
      <c r="F40" s="5">
        <f t="shared" ref="F40:F43" si="35">D40-E40</f>
        <v>0.69299999999999995</v>
      </c>
      <c r="G40" s="5">
        <f t="shared" si="32"/>
        <v>0.69300000000000006</v>
      </c>
      <c r="H40" s="5">
        <f t="shared" si="33"/>
        <v>0.36499999999999999</v>
      </c>
      <c r="I40" s="5">
        <v>0.20799999999999999</v>
      </c>
      <c r="J40" s="5">
        <v>0</v>
      </c>
      <c r="K40" s="5">
        <v>0.27700000000000002</v>
      </c>
      <c r="L40" s="5">
        <v>0.36499999999999999</v>
      </c>
      <c r="M40" s="5">
        <v>0.13900000000000001</v>
      </c>
      <c r="N40" s="5">
        <v>0</v>
      </c>
      <c r="O40" s="5">
        <v>6.9000000000000006E-2</v>
      </c>
      <c r="P40" s="5">
        <v>0</v>
      </c>
      <c r="Q40" s="5">
        <f t="shared" si="26"/>
        <v>0.12</v>
      </c>
      <c r="R40" s="5">
        <f t="shared" si="2"/>
        <v>-0.12</v>
      </c>
      <c r="S40" s="116">
        <f t="shared" si="3"/>
        <v>-24.742268041237114</v>
      </c>
      <c r="T40" s="344" t="s">
        <v>385</v>
      </c>
    </row>
    <row r="41" spans="1:20" ht="31.5">
      <c r="A41" s="91" t="s">
        <v>434</v>
      </c>
      <c r="B41" s="99" t="s">
        <v>435</v>
      </c>
      <c r="C41" s="102" t="s">
        <v>436</v>
      </c>
      <c r="D41" s="5">
        <v>0.125</v>
      </c>
      <c r="E41" s="5">
        <f t="shared" si="31"/>
        <v>0</v>
      </c>
      <c r="F41" s="5">
        <f t="shared" si="35"/>
        <v>0.125</v>
      </c>
      <c r="G41" s="5">
        <f t="shared" si="32"/>
        <v>0.12499999999999999</v>
      </c>
      <c r="H41" s="5">
        <f t="shared" si="33"/>
        <v>6.8000000000000005E-2</v>
      </c>
      <c r="I41" s="5">
        <v>3.7999999999999999E-2</v>
      </c>
      <c r="J41" s="5">
        <v>0</v>
      </c>
      <c r="K41" s="106">
        <v>0.05</v>
      </c>
      <c r="L41" s="5">
        <v>6.8000000000000005E-2</v>
      </c>
      <c r="M41" s="5">
        <v>2.4E-2</v>
      </c>
      <c r="N41" s="5">
        <v>0</v>
      </c>
      <c r="O41" s="5">
        <v>1.2999999999999999E-2</v>
      </c>
      <c r="P41" s="5">
        <v>0</v>
      </c>
      <c r="Q41" s="5">
        <f t="shared" si="26"/>
        <v>1.999999999999999E-2</v>
      </c>
      <c r="R41" s="5">
        <f t="shared" si="2"/>
        <v>-1.999999999999999E-2</v>
      </c>
      <c r="S41" s="116">
        <f t="shared" si="3"/>
        <v>-22.72727272727272</v>
      </c>
      <c r="T41" s="344" t="s">
        <v>385</v>
      </c>
    </row>
    <row r="42" spans="1:20" ht="31.5">
      <c r="A42" s="91" t="s">
        <v>437</v>
      </c>
      <c r="B42" s="99" t="s">
        <v>438</v>
      </c>
      <c r="C42" s="102" t="s">
        <v>439</v>
      </c>
      <c r="D42" s="5">
        <v>3.0179999999999998</v>
      </c>
      <c r="E42" s="5">
        <f t="shared" si="31"/>
        <v>0</v>
      </c>
      <c r="F42" s="5">
        <f t="shared" si="35"/>
        <v>3.0179999999999998</v>
      </c>
      <c r="G42" s="5">
        <f t="shared" si="32"/>
        <v>3.0180000000000002</v>
      </c>
      <c r="H42" s="5">
        <f t="shared" si="33"/>
        <v>1.7030000000000001</v>
      </c>
      <c r="I42" s="5">
        <v>0.90500000000000003</v>
      </c>
      <c r="J42" s="106">
        <v>0.09</v>
      </c>
      <c r="K42" s="5">
        <v>1.2070000000000001</v>
      </c>
      <c r="L42" s="5">
        <v>1.613</v>
      </c>
      <c r="M42" s="5">
        <v>0.60399999999999998</v>
      </c>
      <c r="N42" s="5">
        <v>0</v>
      </c>
      <c r="O42" s="5">
        <v>0.30199999999999999</v>
      </c>
      <c r="P42" s="5">
        <v>0</v>
      </c>
      <c r="Q42" s="5">
        <f t="shared" si="26"/>
        <v>0.40900000000000003</v>
      </c>
      <c r="R42" s="5">
        <f t="shared" si="2"/>
        <v>-0.40900000000000003</v>
      </c>
      <c r="S42" s="116">
        <f t="shared" si="3"/>
        <v>-19.365530303030305</v>
      </c>
      <c r="T42" s="344" t="s">
        <v>385</v>
      </c>
    </row>
    <row r="43" spans="1:20" ht="33.75" customHeight="1">
      <c r="A43" s="89" t="s">
        <v>440</v>
      </c>
      <c r="B43" s="90" t="s">
        <v>441</v>
      </c>
      <c r="C43" s="101"/>
      <c r="D43" s="5">
        <f t="shared" ref="D43" si="36">G43</f>
        <v>0</v>
      </c>
      <c r="E43" s="5">
        <f t="shared" si="31"/>
        <v>0</v>
      </c>
      <c r="F43" s="5">
        <f t="shared" si="35"/>
        <v>0</v>
      </c>
      <c r="G43" s="5">
        <f t="shared" si="32"/>
        <v>0</v>
      </c>
      <c r="H43" s="5">
        <f t="shared" si="33"/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2"/>
        <v>0</v>
      </c>
      <c r="S43" s="116">
        <v>0</v>
      </c>
      <c r="T43" s="5"/>
    </row>
  </sheetData>
  <mergeCells count="27">
    <mergeCell ref="F13:F15"/>
    <mergeCell ref="Q13:Q15"/>
    <mergeCell ref="R14:R15"/>
    <mergeCell ref="S14:S15"/>
    <mergeCell ref="G13:P13"/>
    <mergeCell ref="R13:S13"/>
    <mergeCell ref="G14:H14"/>
    <mergeCell ref="I14:J14"/>
    <mergeCell ref="K14:L14"/>
    <mergeCell ref="M14:N14"/>
    <mergeCell ref="O14:P14"/>
    <mergeCell ref="A13:A15"/>
    <mergeCell ref="R1:T1"/>
    <mergeCell ref="R2:T2"/>
    <mergeCell ref="R3:T3"/>
    <mergeCell ref="A7:T7"/>
    <mergeCell ref="A10:T10"/>
    <mergeCell ref="A9:T9"/>
    <mergeCell ref="A8:T8"/>
    <mergeCell ref="A4:T4"/>
    <mergeCell ref="A5:T5"/>
    <mergeCell ref="A6:T6"/>
    <mergeCell ref="T13:T15"/>
    <mergeCell ref="B13:B15"/>
    <mergeCell ref="C13:C15"/>
    <mergeCell ref="D13:D15"/>
    <mergeCell ref="E13:E15"/>
  </mergeCells>
  <pageMargins left="0" right="0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фин.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2019-08-12T11:51:40Z</dcterms:modified>
</cp:coreProperties>
</file>